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partagés\DES-Documents\Données clés\"/>
    </mc:Choice>
  </mc:AlternateContent>
  <xr:revisionPtr revIDLastSave="0" documentId="13_ncr:1_{CCBA2386-701A-4F89-BA11-79457CB95C05}" xr6:coauthVersionLast="36" xr6:coauthVersionMax="36" xr10:uidLastSave="{00000000-0000-0000-0000-000000000000}"/>
  <bookViews>
    <workbookView xWindow="120" yWindow="90" windowWidth="20400" windowHeight="8580" xr2:uid="{00000000-000D-0000-FFFF-FFFF00000000}"/>
  </bookViews>
  <sheets>
    <sheet name="Pop" sheetId="1" r:id="rId1"/>
    <sheet name="Dip" sheetId="2" r:id="rId2"/>
  </sheets>
  <calcPr calcId="191029"/>
</workbook>
</file>

<file path=xl/calcChain.xml><?xml version="1.0" encoding="utf-8"?>
<calcChain xmlns="http://schemas.openxmlformats.org/spreadsheetml/2006/main">
  <c r="AC64" i="2" l="1"/>
  <c r="AB64" i="2"/>
  <c r="AH68" i="1" l="1"/>
  <c r="AD72" i="1"/>
  <c r="AC72" i="1"/>
  <c r="AF20" i="1" l="1"/>
  <c r="AF49" i="1" s="1"/>
  <c r="AF51" i="1" s="1"/>
  <c r="AD25" i="2" l="1"/>
  <c r="AD39" i="2"/>
  <c r="AD8" i="2" l="1"/>
  <c r="AD9" i="2"/>
  <c r="AD10" i="2"/>
  <c r="AD11" i="2"/>
  <c r="AD12" i="2"/>
  <c r="AD13" i="2"/>
  <c r="AD14" i="2"/>
  <c r="AD15" i="2"/>
  <c r="AD16" i="2"/>
  <c r="AD17" i="2"/>
  <c r="AD18" i="2"/>
  <c r="AD19" i="2"/>
  <c r="AB20" i="2"/>
  <c r="AC20" i="2"/>
  <c r="AD21" i="2"/>
  <c r="AD22" i="2"/>
  <c r="AD23" i="2"/>
  <c r="AD24" i="2"/>
  <c r="AD26" i="2"/>
  <c r="AD27" i="2"/>
  <c r="AD28" i="2"/>
  <c r="AD29" i="2"/>
  <c r="AB30" i="2"/>
  <c r="AC30" i="2"/>
  <c r="AD32" i="2"/>
  <c r="AD33" i="2"/>
  <c r="AD34" i="2"/>
  <c r="AB35" i="2"/>
  <c r="AC35" i="2"/>
  <c r="AD36" i="2"/>
  <c r="AD37" i="2"/>
  <c r="AD38" i="2"/>
  <c r="AD40" i="2"/>
  <c r="AB41" i="2"/>
  <c r="AB42" i="2" s="1"/>
  <c r="AC41" i="2"/>
  <c r="AD55" i="2"/>
  <c r="AD56" i="2"/>
  <c r="AD57" i="2"/>
  <c r="AD58" i="2"/>
  <c r="AD59" i="2"/>
  <c r="AD60" i="2"/>
  <c r="AD61" i="2"/>
  <c r="AD62" i="2"/>
  <c r="AD63" i="2"/>
  <c r="AD64" i="2"/>
  <c r="AB65" i="2"/>
  <c r="AC65" i="2"/>
  <c r="AD66" i="2"/>
  <c r="AD67" i="2"/>
  <c r="AB68" i="2"/>
  <c r="AC68" i="2"/>
  <c r="AD69" i="2"/>
  <c r="AD70" i="2"/>
  <c r="AD71" i="2"/>
  <c r="AD72" i="2"/>
  <c r="AB73" i="2"/>
  <c r="AC73" i="2"/>
  <c r="AD74" i="2"/>
  <c r="AD75" i="2"/>
  <c r="AD76" i="2"/>
  <c r="AD77" i="2"/>
  <c r="AD78" i="2"/>
  <c r="AD79" i="2"/>
  <c r="AB80" i="2"/>
  <c r="AC80" i="2"/>
  <c r="AH49" i="1"/>
  <c r="AF26" i="1"/>
  <c r="AD43" i="1"/>
  <c r="AC43" i="1"/>
  <c r="AF42" i="1"/>
  <c r="AE84" i="1"/>
  <c r="AE77" i="1"/>
  <c r="AE72" i="1"/>
  <c r="AE69" i="1"/>
  <c r="AE43" i="1"/>
  <c r="AE36" i="1"/>
  <c r="AF83" i="1"/>
  <c r="AF82" i="1"/>
  <c r="AF81" i="1"/>
  <c r="AF80" i="1"/>
  <c r="AF79" i="1"/>
  <c r="AF78" i="1"/>
  <c r="AF76" i="1"/>
  <c r="AF75" i="1"/>
  <c r="AF74" i="1"/>
  <c r="AF73" i="1"/>
  <c r="AF71" i="1"/>
  <c r="AF70" i="1"/>
  <c r="AF68" i="1"/>
  <c r="AF67" i="1"/>
  <c r="AF66" i="1"/>
  <c r="AF65" i="1"/>
  <c r="AF64" i="1"/>
  <c r="AF63" i="1"/>
  <c r="AF62" i="1"/>
  <c r="AF61" i="1"/>
  <c r="AF60" i="1"/>
  <c r="AF59" i="1"/>
  <c r="AF41" i="1"/>
  <c r="AF40" i="1"/>
  <c r="AF39" i="1"/>
  <c r="AF38" i="1"/>
  <c r="AF37" i="1"/>
  <c r="AF35" i="1"/>
  <c r="AF34" i="1"/>
  <c r="AF33" i="1"/>
  <c r="AF30" i="1"/>
  <c r="AF29" i="1"/>
  <c r="AF28" i="1"/>
  <c r="AF27" i="1"/>
  <c r="AF25" i="1"/>
  <c r="AF24" i="1"/>
  <c r="AF23" i="1"/>
  <c r="AF22" i="1"/>
  <c r="AF21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E31" i="1"/>
  <c r="AE20" i="1"/>
  <c r="AD68" i="2" l="1"/>
  <c r="AC81" i="2"/>
  <c r="AC46" i="2"/>
  <c r="AC42" i="2"/>
  <c r="AB46" i="2"/>
  <c r="AD20" i="2"/>
  <c r="AD45" i="2" s="1"/>
  <c r="AD35" i="2"/>
  <c r="AD80" i="2"/>
  <c r="AD73" i="2"/>
  <c r="AB81" i="2"/>
  <c r="AD65" i="2"/>
  <c r="AD41" i="2"/>
  <c r="AD30" i="2"/>
  <c r="AB31" i="2"/>
  <c r="AC31" i="2"/>
  <c r="AC45" i="2"/>
  <c r="AB45" i="2"/>
  <c r="AB47" i="2" s="1"/>
  <c r="AE50" i="1"/>
  <c r="AE49" i="1"/>
  <c r="AE85" i="1"/>
  <c r="AE44" i="1"/>
  <c r="AD81" i="2" l="1"/>
  <c r="AC82" i="2" s="1"/>
  <c r="AB89" i="2"/>
  <c r="AC47" i="2"/>
  <c r="AC89" i="2" s="1"/>
  <c r="AD46" i="2"/>
  <c r="AD47" i="2" s="1"/>
  <c r="AD31" i="2"/>
  <c r="AD42" i="2"/>
  <c r="AE51" i="1"/>
  <c r="AE93" i="1" s="1"/>
  <c r="AE111" i="1" s="1"/>
  <c r="AC48" i="2" l="1"/>
  <c r="AD89" i="2"/>
  <c r="AC90" i="2" s="1"/>
  <c r="AJ83" i="1" l="1"/>
  <c r="AI83" i="1"/>
  <c r="AH83" i="1"/>
  <c r="AJ82" i="1"/>
  <c r="AI82" i="1"/>
  <c r="AH82" i="1"/>
  <c r="AJ81" i="1"/>
  <c r="AI81" i="1"/>
  <c r="AH81" i="1"/>
  <c r="AJ80" i="1"/>
  <c r="AI80" i="1"/>
  <c r="AH80" i="1"/>
  <c r="AJ79" i="1"/>
  <c r="AI79" i="1"/>
  <c r="AH79" i="1"/>
  <c r="AJ78" i="1"/>
  <c r="AI78" i="1"/>
  <c r="AH78" i="1"/>
  <c r="AJ76" i="1"/>
  <c r="AI76" i="1"/>
  <c r="AH76" i="1"/>
  <c r="AJ75" i="1"/>
  <c r="AI75" i="1"/>
  <c r="AH75" i="1"/>
  <c r="AJ74" i="1"/>
  <c r="AI74" i="1"/>
  <c r="AH74" i="1"/>
  <c r="AJ73" i="1"/>
  <c r="AI73" i="1"/>
  <c r="AH73" i="1"/>
  <c r="AJ71" i="1"/>
  <c r="AI71" i="1"/>
  <c r="AH71" i="1"/>
  <c r="AJ70" i="1"/>
  <c r="AI70" i="1"/>
  <c r="AH70" i="1"/>
  <c r="AJ68" i="1"/>
  <c r="AI68" i="1"/>
  <c r="AJ67" i="1"/>
  <c r="AI67" i="1"/>
  <c r="AH67" i="1"/>
  <c r="AJ66" i="1"/>
  <c r="AI66" i="1"/>
  <c r="AH66" i="1"/>
  <c r="AJ65" i="1"/>
  <c r="AI65" i="1"/>
  <c r="AH65" i="1"/>
  <c r="AJ64" i="1"/>
  <c r="AI64" i="1"/>
  <c r="AH64" i="1"/>
  <c r="AJ63" i="1"/>
  <c r="AI63" i="1"/>
  <c r="AH63" i="1"/>
  <c r="AJ62" i="1"/>
  <c r="AI62" i="1"/>
  <c r="AH62" i="1"/>
  <c r="AJ61" i="1"/>
  <c r="AI61" i="1"/>
  <c r="AH61" i="1"/>
  <c r="AJ60" i="1"/>
  <c r="AI60" i="1"/>
  <c r="AH60" i="1"/>
  <c r="AJ59" i="1"/>
  <c r="AI59" i="1"/>
  <c r="AH59" i="1"/>
  <c r="AI41" i="1"/>
  <c r="AH41" i="1"/>
  <c r="AI39" i="1"/>
  <c r="AH39" i="1"/>
  <c r="AI38" i="1"/>
  <c r="AH38" i="1"/>
  <c r="AI37" i="1"/>
  <c r="AH37" i="1"/>
  <c r="AI35" i="1"/>
  <c r="AH35" i="1"/>
  <c r="AI34" i="1"/>
  <c r="AH34" i="1"/>
  <c r="AI33" i="1"/>
  <c r="AH33" i="1"/>
  <c r="AI30" i="1"/>
  <c r="AH30" i="1"/>
  <c r="AI29" i="1"/>
  <c r="AH29" i="1"/>
  <c r="AI28" i="1"/>
  <c r="AH28" i="1"/>
  <c r="AI27" i="1"/>
  <c r="AH27" i="1"/>
  <c r="AI24" i="1"/>
  <c r="AH24" i="1"/>
  <c r="AI23" i="1"/>
  <c r="AH23" i="1"/>
  <c r="AI22" i="1"/>
  <c r="AH22" i="1"/>
  <c r="AI21" i="1"/>
  <c r="AH21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J8" i="1"/>
  <c r="AI8" i="1"/>
  <c r="AH8" i="1"/>
  <c r="AF101" i="1"/>
  <c r="AF102" i="1"/>
  <c r="AC103" i="1"/>
  <c r="AD103" i="1"/>
  <c r="AC20" i="1"/>
  <c r="AD20" i="1"/>
  <c r="AC31" i="1"/>
  <c r="AD31" i="1"/>
  <c r="AC36" i="1"/>
  <c r="AD36" i="1"/>
  <c r="AC69" i="1"/>
  <c r="AD69" i="1"/>
  <c r="AC77" i="1"/>
  <c r="AD77" i="1"/>
  <c r="AC84" i="1"/>
  <c r="AD84" i="1"/>
  <c r="AF72" i="1" l="1"/>
  <c r="AF77" i="1"/>
  <c r="AF43" i="1"/>
  <c r="AD49" i="1"/>
  <c r="AF84" i="1"/>
  <c r="AC49" i="1"/>
  <c r="AF36" i="1"/>
  <c r="AC32" i="1"/>
  <c r="AF31" i="1"/>
  <c r="AF69" i="1"/>
  <c r="AH20" i="1"/>
  <c r="AI20" i="1"/>
  <c r="AD32" i="1"/>
  <c r="AD85" i="1"/>
  <c r="AC85" i="1"/>
  <c r="AF103" i="1"/>
  <c r="AD50" i="1"/>
  <c r="AC44" i="1"/>
  <c r="AC50" i="1"/>
  <c r="AD44" i="1"/>
  <c r="AA8" i="2"/>
  <c r="AA9" i="2"/>
  <c r="AA10" i="2"/>
  <c r="AA11" i="2"/>
  <c r="AA12" i="2"/>
  <c r="AA13" i="2"/>
  <c r="AA14" i="2"/>
  <c r="AA15" i="2"/>
  <c r="AA16" i="2"/>
  <c r="AA17" i="2"/>
  <c r="AA18" i="2"/>
  <c r="AA19" i="2"/>
  <c r="Y20" i="2"/>
  <c r="Z20" i="2"/>
  <c r="AA21" i="2"/>
  <c r="AA22" i="2"/>
  <c r="AA23" i="2"/>
  <c r="AA24" i="2"/>
  <c r="AA26" i="2"/>
  <c r="AA27" i="2"/>
  <c r="AA28" i="2"/>
  <c r="AA29" i="2"/>
  <c r="Y30" i="2"/>
  <c r="Z30" i="2"/>
  <c r="AA32" i="2"/>
  <c r="AA33" i="2"/>
  <c r="AA34" i="2"/>
  <c r="Y35" i="2"/>
  <c r="Z35" i="2"/>
  <c r="AA36" i="2"/>
  <c r="AA37" i="2"/>
  <c r="AA38" i="2"/>
  <c r="AA40" i="2"/>
  <c r="Y41" i="2"/>
  <c r="Z41" i="2"/>
  <c r="AA55" i="2"/>
  <c r="AA56" i="2"/>
  <c r="AA57" i="2"/>
  <c r="AA58" i="2"/>
  <c r="AA59" i="2"/>
  <c r="AA60" i="2"/>
  <c r="AA61" i="2"/>
  <c r="AA62" i="2"/>
  <c r="AA63" i="2"/>
  <c r="AA64" i="2"/>
  <c r="Y65" i="2"/>
  <c r="Z65" i="2"/>
  <c r="AA66" i="2"/>
  <c r="AA67" i="2"/>
  <c r="Y68" i="2"/>
  <c r="Z68" i="2"/>
  <c r="AA69" i="2"/>
  <c r="AA70" i="2"/>
  <c r="AA71" i="2"/>
  <c r="AA72" i="2"/>
  <c r="Y73" i="2"/>
  <c r="Z73" i="2"/>
  <c r="AA74" i="2"/>
  <c r="AA75" i="2"/>
  <c r="AA76" i="2"/>
  <c r="AA77" i="2"/>
  <c r="AA78" i="2"/>
  <c r="AA79" i="2"/>
  <c r="Y80" i="2"/>
  <c r="Z80" i="2"/>
  <c r="AF32" i="1" l="1"/>
  <c r="AF44" i="1"/>
  <c r="AF85" i="1"/>
  <c r="AD86" i="1" s="1"/>
  <c r="AC51" i="1"/>
  <c r="AF50" i="1"/>
  <c r="AD51" i="1"/>
  <c r="AA68" i="2"/>
  <c r="AA73" i="2"/>
  <c r="Y42" i="2"/>
  <c r="AA80" i="2"/>
  <c r="AA65" i="2"/>
  <c r="Z81" i="2"/>
  <c r="Y81" i="2"/>
  <c r="Y46" i="2"/>
  <c r="Z46" i="2"/>
  <c r="AA41" i="2"/>
  <c r="Z42" i="2"/>
  <c r="AA35" i="2"/>
  <c r="AA30" i="2"/>
  <c r="Y31" i="2"/>
  <c r="Z31" i="2"/>
  <c r="Z45" i="2"/>
  <c r="AA20" i="2"/>
  <c r="Y45" i="2"/>
  <c r="AD52" i="1" l="1"/>
  <c r="AC93" i="1"/>
  <c r="AD93" i="1"/>
  <c r="AA81" i="2"/>
  <c r="Z82" i="2" s="1"/>
  <c r="AA45" i="2"/>
  <c r="AA46" i="2"/>
  <c r="Y47" i="2"/>
  <c r="Y89" i="2" s="1"/>
  <c r="AA31" i="2"/>
  <c r="AA42" i="2"/>
  <c r="Z47" i="2"/>
  <c r="Z89" i="2" s="1"/>
  <c r="X55" i="2"/>
  <c r="X56" i="2"/>
  <c r="X57" i="2"/>
  <c r="X58" i="2"/>
  <c r="X59" i="2"/>
  <c r="X60" i="2"/>
  <c r="X61" i="2"/>
  <c r="X62" i="2"/>
  <c r="X63" i="2"/>
  <c r="X64" i="2"/>
  <c r="W65" i="2"/>
  <c r="X66" i="2"/>
  <c r="X67" i="2"/>
  <c r="V68" i="2"/>
  <c r="W68" i="2"/>
  <c r="X69" i="2"/>
  <c r="W73" i="2"/>
  <c r="X70" i="2"/>
  <c r="X71" i="2"/>
  <c r="X72" i="2"/>
  <c r="V73" i="2"/>
  <c r="X74" i="2"/>
  <c r="X75" i="2"/>
  <c r="X76" i="2"/>
  <c r="W80" i="2"/>
  <c r="X77" i="2"/>
  <c r="X78" i="2"/>
  <c r="X79" i="2"/>
  <c r="V80" i="2"/>
  <c r="Q80" i="2"/>
  <c r="Q81" i="2" s="1"/>
  <c r="P80" i="2"/>
  <c r="P81" i="2" s="1"/>
  <c r="N80" i="2"/>
  <c r="N81" i="2" s="1"/>
  <c r="M80" i="2"/>
  <c r="H80" i="2"/>
  <c r="H81" i="2" s="1"/>
  <c r="G80" i="2"/>
  <c r="G81" i="2" s="1"/>
  <c r="T79" i="2"/>
  <c r="S79" i="2"/>
  <c r="U79" i="2" s="1"/>
  <c r="R79" i="2"/>
  <c r="O79" i="2"/>
  <c r="L79" i="2"/>
  <c r="K79" i="2"/>
  <c r="J79" i="2"/>
  <c r="I79" i="2"/>
  <c r="E79" i="2"/>
  <c r="D79" i="2"/>
  <c r="F79" i="2" s="1"/>
  <c r="U78" i="2"/>
  <c r="R78" i="2"/>
  <c r="O78" i="2"/>
  <c r="L78" i="2"/>
  <c r="I78" i="2"/>
  <c r="F78" i="2"/>
  <c r="T77" i="2"/>
  <c r="T80" i="2" s="1"/>
  <c r="S77" i="2"/>
  <c r="S80" i="2" s="1"/>
  <c r="R77" i="2"/>
  <c r="O77" i="2"/>
  <c r="K77" i="2"/>
  <c r="K80" i="2" s="1"/>
  <c r="J77" i="2"/>
  <c r="L77" i="2" s="1"/>
  <c r="I77" i="2"/>
  <c r="E77" i="2"/>
  <c r="E80" i="2" s="1"/>
  <c r="D77" i="2"/>
  <c r="D80" i="2" s="1"/>
  <c r="U76" i="2"/>
  <c r="R76" i="2"/>
  <c r="O76" i="2"/>
  <c r="L76" i="2"/>
  <c r="I76" i="2"/>
  <c r="F76" i="2"/>
  <c r="U75" i="2"/>
  <c r="R75" i="2"/>
  <c r="O75" i="2"/>
  <c r="L75" i="2"/>
  <c r="I75" i="2"/>
  <c r="F75" i="2"/>
  <c r="U74" i="2"/>
  <c r="R74" i="2"/>
  <c r="R80" i="2" s="1"/>
  <c r="O74" i="2"/>
  <c r="O80" i="2" s="1"/>
  <c r="L74" i="2"/>
  <c r="L80" i="2" s="1"/>
  <c r="I74" i="2"/>
  <c r="I80" i="2" s="1"/>
  <c r="F74" i="2"/>
  <c r="Q73" i="2"/>
  <c r="P73" i="2"/>
  <c r="N73" i="2"/>
  <c r="M73" i="2"/>
  <c r="M81" i="2" s="1"/>
  <c r="J73" i="2"/>
  <c r="H73" i="2"/>
  <c r="G73" i="2"/>
  <c r="U72" i="2"/>
  <c r="R72" i="2"/>
  <c r="O72" i="2"/>
  <c r="L72" i="2"/>
  <c r="I72" i="2"/>
  <c r="E72" i="2"/>
  <c r="D72" i="2"/>
  <c r="F72" i="2" s="1"/>
  <c r="T71" i="2"/>
  <c r="S71" i="2"/>
  <c r="U71" i="2" s="1"/>
  <c r="R71" i="2"/>
  <c r="O71" i="2"/>
  <c r="L71" i="2"/>
  <c r="I71" i="2"/>
  <c r="E71" i="2"/>
  <c r="D71" i="2"/>
  <c r="F71" i="2" s="1"/>
  <c r="U70" i="2"/>
  <c r="R70" i="2"/>
  <c r="R73" i="2" s="1"/>
  <c r="O70" i="2"/>
  <c r="L70" i="2"/>
  <c r="I70" i="2"/>
  <c r="F70" i="2"/>
  <c r="T69" i="2"/>
  <c r="S69" i="2"/>
  <c r="S73" i="2" s="1"/>
  <c r="R69" i="2"/>
  <c r="O69" i="2"/>
  <c r="O73" i="2" s="1"/>
  <c r="K69" i="2"/>
  <c r="K73" i="2" s="1"/>
  <c r="J69" i="2"/>
  <c r="L69" i="2" s="1"/>
  <c r="L73" i="2" s="1"/>
  <c r="I69" i="2"/>
  <c r="I73" i="2" s="1"/>
  <c r="F69" i="2"/>
  <c r="E69" i="2"/>
  <c r="E73" i="2" s="1"/>
  <c r="D69" i="2"/>
  <c r="D73" i="2" s="1"/>
  <c r="T68" i="2"/>
  <c r="S68" i="2"/>
  <c r="Q68" i="2"/>
  <c r="P68" i="2"/>
  <c r="N68" i="2"/>
  <c r="M68" i="2"/>
  <c r="K68" i="2"/>
  <c r="J68" i="2"/>
  <c r="H68" i="2"/>
  <c r="G68" i="2"/>
  <c r="E68" i="2"/>
  <c r="D68" i="2"/>
  <c r="U67" i="2"/>
  <c r="R67" i="2"/>
  <c r="O67" i="2"/>
  <c r="L67" i="2"/>
  <c r="I67" i="2"/>
  <c r="F67" i="2"/>
  <c r="U66" i="2"/>
  <c r="U68" i="2" s="1"/>
  <c r="R66" i="2"/>
  <c r="R68" i="2" s="1"/>
  <c r="O66" i="2"/>
  <c r="O68" i="2" s="1"/>
  <c r="L66" i="2"/>
  <c r="L68" i="2" s="1"/>
  <c r="I66" i="2"/>
  <c r="I68" i="2" s="1"/>
  <c r="F66" i="2"/>
  <c r="F68" i="2" s="1"/>
  <c r="Q65" i="2"/>
  <c r="P65" i="2"/>
  <c r="N65" i="2"/>
  <c r="M65" i="2"/>
  <c r="H65" i="2"/>
  <c r="G65" i="2"/>
  <c r="U64" i="2"/>
  <c r="R64" i="2"/>
  <c r="O64" i="2"/>
  <c r="K64" i="2"/>
  <c r="L64" i="2" s="1"/>
  <c r="I64" i="2"/>
  <c r="E64" i="2"/>
  <c r="D64" i="2"/>
  <c r="F64" i="2" s="1"/>
  <c r="U63" i="2"/>
  <c r="T63" i="2"/>
  <c r="S63" i="2"/>
  <c r="R63" i="2"/>
  <c r="O63" i="2"/>
  <c r="K63" i="2"/>
  <c r="J63" i="2"/>
  <c r="L63" i="2" s="1"/>
  <c r="I63" i="2"/>
  <c r="F63" i="2"/>
  <c r="E63" i="2"/>
  <c r="D63" i="2"/>
  <c r="U62" i="2"/>
  <c r="R62" i="2"/>
  <c r="O62" i="2"/>
  <c r="L62" i="2"/>
  <c r="I62" i="2"/>
  <c r="F62" i="2"/>
  <c r="U61" i="2"/>
  <c r="R61" i="2"/>
  <c r="O61" i="2"/>
  <c r="L61" i="2"/>
  <c r="I61" i="2"/>
  <c r="F61" i="2"/>
  <c r="T60" i="2"/>
  <c r="U60" i="2" s="1"/>
  <c r="S60" i="2"/>
  <c r="R60" i="2"/>
  <c r="O60" i="2"/>
  <c r="K60" i="2"/>
  <c r="J60" i="2"/>
  <c r="L60" i="2" s="1"/>
  <c r="I60" i="2"/>
  <c r="F60" i="2"/>
  <c r="E60" i="2"/>
  <c r="D60" i="2"/>
  <c r="U59" i="2"/>
  <c r="T59" i="2"/>
  <c r="S59" i="2"/>
  <c r="R59" i="2"/>
  <c r="O59" i="2"/>
  <c r="L59" i="2"/>
  <c r="K59" i="2"/>
  <c r="J59" i="2"/>
  <c r="I59" i="2"/>
  <c r="E59" i="2"/>
  <c r="D59" i="2"/>
  <c r="F59" i="2" s="1"/>
  <c r="U58" i="2"/>
  <c r="T58" i="2"/>
  <c r="S58" i="2"/>
  <c r="R58" i="2"/>
  <c r="O58" i="2"/>
  <c r="K58" i="2"/>
  <c r="J58" i="2"/>
  <c r="L58" i="2" s="1"/>
  <c r="I58" i="2"/>
  <c r="F58" i="2"/>
  <c r="E58" i="2"/>
  <c r="D58" i="2"/>
  <c r="U57" i="2"/>
  <c r="T57" i="2"/>
  <c r="S57" i="2"/>
  <c r="R57" i="2"/>
  <c r="O57" i="2"/>
  <c r="L57" i="2"/>
  <c r="K57" i="2"/>
  <c r="J57" i="2"/>
  <c r="I57" i="2"/>
  <c r="E57" i="2"/>
  <c r="D57" i="2"/>
  <c r="F57" i="2" s="1"/>
  <c r="U56" i="2"/>
  <c r="R56" i="2"/>
  <c r="O56" i="2"/>
  <c r="L56" i="2"/>
  <c r="I56" i="2"/>
  <c r="F56" i="2"/>
  <c r="T55" i="2"/>
  <c r="T65" i="2" s="1"/>
  <c r="S55" i="2"/>
  <c r="U55" i="2" s="1"/>
  <c r="R55" i="2"/>
  <c r="R65" i="2" s="1"/>
  <c r="O55" i="2"/>
  <c r="O65" i="2" s="1"/>
  <c r="K55" i="2"/>
  <c r="K65" i="2" s="1"/>
  <c r="J55" i="2"/>
  <c r="J65" i="2" s="1"/>
  <c r="I55" i="2"/>
  <c r="I65" i="2" s="1"/>
  <c r="E55" i="2"/>
  <c r="E65" i="2" s="1"/>
  <c r="D55" i="2"/>
  <c r="D65" i="2" s="1"/>
  <c r="T42" i="2"/>
  <c r="D42" i="2"/>
  <c r="W41" i="2"/>
  <c r="V41" i="2"/>
  <c r="T41" i="2"/>
  <c r="S41" i="2"/>
  <c r="Q41" i="2"/>
  <c r="P41" i="2"/>
  <c r="N41" i="2"/>
  <c r="M41" i="2"/>
  <c r="K41" i="2"/>
  <c r="J41" i="2"/>
  <c r="H41" i="2"/>
  <c r="G41" i="2"/>
  <c r="E41" i="2"/>
  <c r="D41" i="2"/>
  <c r="X40" i="2"/>
  <c r="U40" i="2"/>
  <c r="R40" i="2"/>
  <c r="O40" i="2"/>
  <c r="L40" i="2"/>
  <c r="I40" i="2"/>
  <c r="F40" i="2"/>
  <c r="X38" i="2"/>
  <c r="U38" i="2"/>
  <c r="R38" i="2"/>
  <c r="O38" i="2"/>
  <c r="L38" i="2"/>
  <c r="I38" i="2"/>
  <c r="F38" i="2"/>
  <c r="X37" i="2"/>
  <c r="U37" i="2"/>
  <c r="R37" i="2"/>
  <c r="O37" i="2"/>
  <c r="L37" i="2"/>
  <c r="I37" i="2"/>
  <c r="F37" i="2"/>
  <c r="X36" i="2"/>
  <c r="U36" i="2"/>
  <c r="R36" i="2"/>
  <c r="R41" i="2" s="1"/>
  <c r="O36" i="2"/>
  <c r="L36" i="2"/>
  <c r="I36" i="2"/>
  <c r="F36" i="2"/>
  <c r="F41" i="2" s="1"/>
  <c r="W35" i="2"/>
  <c r="V35" i="2"/>
  <c r="V42" i="2" s="1"/>
  <c r="T35" i="2"/>
  <c r="S35" i="2"/>
  <c r="S42" i="2" s="1"/>
  <c r="P35" i="2"/>
  <c r="P42" i="2" s="1"/>
  <c r="N35" i="2"/>
  <c r="N42" i="2" s="1"/>
  <c r="M35" i="2"/>
  <c r="M42" i="2" s="1"/>
  <c r="K35" i="2"/>
  <c r="K42" i="2" s="1"/>
  <c r="J35" i="2"/>
  <c r="J42" i="2" s="1"/>
  <c r="H35" i="2"/>
  <c r="H42" i="2" s="1"/>
  <c r="G35" i="2"/>
  <c r="G42" i="2" s="1"/>
  <c r="E35" i="2"/>
  <c r="E42" i="2" s="1"/>
  <c r="D35" i="2"/>
  <c r="X34" i="2"/>
  <c r="U34" i="2"/>
  <c r="R34" i="2"/>
  <c r="O34" i="2"/>
  <c r="L34" i="2"/>
  <c r="I34" i="2"/>
  <c r="F34" i="2"/>
  <c r="X33" i="2"/>
  <c r="U33" i="2"/>
  <c r="R33" i="2"/>
  <c r="O33" i="2"/>
  <c r="L33" i="2"/>
  <c r="I33" i="2"/>
  <c r="F33" i="2"/>
  <c r="X32" i="2"/>
  <c r="X35" i="2" s="1"/>
  <c r="U32" i="2"/>
  <c r="Q32" i="2"/>
  <c r="Q35" i="2" s="1"/>
  <c r="Q42" i="2" s="1"/>
  <c r="O32" i="2"/>
  <c r="L32" i="2"/>
  <c r="L35" i="2" s="1"/>
  <c r="I32" i="2"/>
  <c r="F32" i="2"/>
  <c r="M31" i="2"/>
  <c r="E31" i="2"/>
  <c r="W30" i="2"/>
  <c r="V30" i="2"/>
  <c r="T30" i="2"/>
  <c r="T46" i="2" s="1"/>
  <c r="S30" i="2"/>
  <c r="S46" i="2" s="1"/>
  <c r="Q30" i="2"/>
  <c r="Q46" i="2" s="1"/>
  <c r="P30" i="2"/>
  <c r="P46" i="2" s="1"/>
  <c r="N30" i="2"/>
  <c r="N46" i="2" s="1"/>
  <c r="N47" i="2" s="1"/>
  <c r="M30" i="2"/>
  <c r="M46" i="2" s="1"/>
  <c r="K30" i="2"/>
  <c r="K46" i="2" s="1"/>
  <c r="J30" i="2"/>
  <c r="J46" i="2" s="1"/>
  <c r="H30" i="2"/>
  <c r="H46" i="2" s="1"/>
  <c r="G30" i="2"/>
  <c r="G46" i="2" s="1"/>
  <c r="E30" i="2"/>
  <c r="E46" i="2" s="1"/>
  <c r="D30" i="2"/>
  <c r="D46" i="2" s="1"/>
  <c r="X29" i="2"/>
  <c r="U29" i="2"/>
  <c r="R29" i="2"/>
  <c r="O29" i="2"/>
  <c r="L29" i="2"/>
  <c r="I29" i="2"/>
  <c r="F29" i="2"/>
  <c r="X28" i="2"/>
  <c r="U28" i="2"/>
  <c r="R28" i="2"/>
  <c r="O28" i="2"/>
  <c r="L28" i="2"/>
  <c r="I28" i="2"/>
  <c r="F28" i="2"/>
  <c r="X27" i="2"/>
  <c r="U27" i="2"/>
  <c r="R27" i="2"/>
  <c r="O27" i="2"/>
  <c r="L27" i="2"/>
  <c r="I27" i="2"/>
  <c r="F27" i="2"/>
  <c r="X26" i="2"/>
  <c r="U26" i="2"/>
  <c r="R26" i="2"/>
  <c r="O26" i="2"/>
  <c r="L26" i="2"/>
  <c r="I26" i="2"/>
  <c r="F26" i="2"/>
  <c r="X24" i="2"/>
  <c r="U24" i="2"/>
  <c r="R24" i="2"/>
  <c r="O24" i="2"/>
  <c r="L24" i="2"/>
  <c r="I24" i="2"/>
  <c r="F24" i="2"/>
  <c r="X23" i="2"/>
  <c r="U23" i="2"/>
  <c r="R23" i="2"/>
  <c r="O23" i="2"/>
  <c r="L23" i="2"/>
  <c r="I23" i="2"/>
  <c r="F23" i="2"/>
  <c r="X22" i="2"/>
  <c r="U22" i="2"/>
  <c r="R22" i="2"/>
  <c r="O22" i="2"/>
  <c r="L22" i="2"/>
  <c r="I22" i="2"/>
  <c r="F22" i="2"/>
  <c r="X21" i="2"/>
  <c r="U21" i="2"/>
  <c r="R21" i="2"/>
  <c r="O21" i="2"/>
  <c r="L21" i="2"/>
  <c r="I21" i="2"/>
  <c r="F21" i="2"/>
  <c r="W20" i="2"/>
  <c r="V20" i="2"/>
  <c r="V45" i="2" s="1"/>
  <c r="T20" i="2"/>
  <c r="T31" i="2" s="1"/>
  <c r="S20" i="2"/>
  <c r="S31" i="2" s="1"/>
  <c r="Q20" i="2"/>
  <c r="Q31" i="2" s="1"/>
  <c r="P20" i="2"/>
  <c r="P31" i="2" s="1"/>
  <c r="N20" i="2"/>
  <c r="N45" i="2" s="1"/>
  <c r="M20" i="2"/>
  <c r="M45" i="2" s="1"/>
  <c r="K20" i="2"/>
  <c r="K31" i="2" s="1"/>
  <c r="J20" i="2"/>
  <c r="J31" i="2" s="1"/>
  <c r="H20" i="2"/>
  <c r="H31" i="2" s="1"/>
  <c r="G20" i="2"/>
  <c r="G45" i="2" s="1"/>
  <c r="E20" i="2"/>
  <c r="E45" i="2" s="1"/>
  <c r="D20" i="2"/>
  <c r="D31" i="2" s="1"/>
  <c r="X19" i="2"/>
  <c r="U19" i="2"/>
  <c r="R19" i="2"/>
  <c r="O19" i="2"/>
  <c r="L19" i="2"/>
  <c r="I19" i="2"/>
  <c r="F19" i="2"/>
  <c r="X18" i="2"/>
  <c r="U18" i="2"/>
  <c r="R18" i="2"/>
  <c r="O18" i="2"/>
  <c r="L18" i="2"/>
  <c r="I18" i="2"/>
  <c r="F18" i="2"/>
  <c r="X17" i="2"/>
  <c r="U17" i="2"/>
  <c r="R17" i="2"/>
  <c r="O17" i="2"/>
  <c r="L17" i="2"/>
  <c r="I17" i="2"/>
  <c r="F17" i="2"/>
  <c r="X16" i="2"/>
  <c r="U16" i="2"/>
  <c r="R16" i="2"/>
  <c r="O16" i="2"/>
  <c r="L16" i="2"/>
  <c r="I16" i="2"/>
  <c r="F16" i="2"/>
  <c r="X15" i="2"/>
  <c r="U15" i="2"/>
  <c r="R15" i="2"/>
  <c r="O15" i="2"/>
  <c r="L15" i="2"/>
  <c r="I15" i="2"/>
  <c r="F15" i="2"/>
  <c r="X14" i="2"/>
  <c r="U14" i="2"/>
  <c r="R14" i="2"/>
  <c r="O14" i="2"/>
  <c r="L14" i="2"/>
  <c r="I14" i="2"/>
  <c r="F14" i="2"/>
  <c r="X13" i="2"/>
  <c r="U13" i="2"/>
  <c r="R13" i="2"/>
  <c r="O13" i="2"/>
  <c r="L13" i="2"/>
  <c r="I13" i="2"/>
  <c r="F13" i="2"/>
  <c r="X12" i="2"/>
  <c r="U12" i="2"/>
  <c r="R12" i="2"/>
  <c r="O12" i="2"/>
  <c r="L12" i="2"/>
  <c r="I12" i="2"/>
  <c r="F12" i="2"/>
  <c r="X11" i="2"/>
  <c r="U11" i="2"/>
  <c r="R11" i="2"/>
  <c r="O11" i="2"/>
  <c r="L11" i="2"/>
  <c r="I11" i="2"/>
  <c r="F11" i="2"/>
  <c r="X10" i="2"/>
  <c r="U10" i="2"/>
  <c r="R10" i="2"/>
  <c r="O10" i="2"/>
  <c r="L10" i="2"/>
  <c r="I10" i="2"/>
  <c r="F10" i="2"/>
  <c r="X9" i="2"/>
  <c r="U9" i="2"/>
  <c r="R9" i="2"/>
  <c r="O9" i="2"/>
  <c r="L9" i="2"/>
  <c r="I9" i="2"/>
  <c r="F9" i="2"/>
  <c r="X8" i="2"/>
  <c r="U8" i="2"/>
  <c r="R8" i="2"/>
  <c r="O8" i="2"/>
  <c r="L8" i="2"/>
  <c r="I8" i="2"/>
  <c r="F8" i="2"/>
  <c r="R20" i="2" l="1"/>
  <c r="R31" i="2" s="1"/>
  <c r="O30" i="2"/>
  <c r="O35" i="2"/>
  <c r="I41" i="2"/>
  <c r="L41" i="2"/>
  <c r="L42" i="2" s="1"/>
  <c r="O20" i="2"/>
  <c r="O45" i="2" s="1"/>
  <c r="U30" i="2"/>
  <c r="U46" i="2" s="1"/>
  <c r="U35" i="2"/>
  <c r="U42" i="2" s="1"/>
  <c r="O41" i="2"/>
  <c r="U41" i="2"/>
  <c r="L20" i="2"/>
  <c r="F30" i="2"/>
  <c r="F46" i="2" s="1"/>
  <c r="F35" i="2"/>
  <c r="F42" i="2" s="1"/>
  <c r="L30" i="2"/>
  <c r="L46" i="2" s="1"/>
  <c r="L47" i="2" s="1"/>
  <c r="U20" i="2"/>
  <c r="U45" i="2" s="1"/>
  <c r="U47" i="2" s="1"/>
  <c r="F20" i="2"/>
  <c r="F45" i="2" s="1"/>
  <c r="F47" i="2" s="1"/>
  <c r="R30" i="2"/>
  <c r="R46" i="2" s="1"/>
  <c r="I20" i="2"/>
  <c r="I30" i="2"/>
  <c r="I35" i="2"/>
  <c r="I42" i="2" s="1"/>
  <c r="AF93" i="1"/>
  <c r="AF111" i="1" s="1"/>
  <c r="AD111" i="1"/>
  <c r="AC111" i="1"/>
  <c r="AA47" i="2"/>
  <c r="AA89" i="2" s="1"/>
  <c r="Z90" i="2" s="1"/>
  <c r="W46" i="2"/>
  <c r="V46" i="2"/>
  <c r="X41" i="2"/>
  <c r="X42" i="2" s="1"/>
  <c r="W42" i="2"/>
  <c r="W45" i="2"/>
  <c r="W47" i="2" s="1"/>
  <c r="X30" i="2"/>
  <c r="X20" i="2"/>
  <c r="X68" i="2"/>
  <c r="U65" i="2"/>
  <c r="X80" i="2"/>
  <c r="X73" i="2"/>
  <c r="W81" i="2"/>
  <c r="X65" i="2"/>
  <c r="V65" i="2"/>
  <c r="V81" i="2" s="1"/>
  <c r="I81" i="2"/>
  <c r="M47" i="2"/>
  <c r="F73" i="2"/>
  <c r="D81" i="2"/>
  <c r="O81" i="2"/>
  <c r="E81" i="2"/>
  <c r="L45" i="2"/>
  <c r="M89" i="2"/>
  <c r="R81" i="2"/>
  <c r="H82" i="2"/>
  <c r="E47" i="2"/>
  <c r="G47" i="2"/>
  <c r="G89" i="2" s="1"/>
  <c r="S47" i="2"/>
  <c r="K81" i="2"/>
  <c r="N82" i="2"/>
  <c r="N89" i="2"/>
  <c r="I31" i="2"/>
  <c r="U31" i="2"/>
  <c r="O46" i="2"/>
  <c r="O42" i="2"/>
  <c r="J47" i="2"/>
  <c r="V47" i="2"/>
  <c r="Q82" i="2"/>
  <c r="N31" i="2"/>
  <c r="V31" i="2"/>
  <c r="R32" i="2"/>
  <c r="R35" i="2" s="1"/>
  <c r="R42" i="2" s="1"/>
  <c r="H45" i="2"/>
  <c r="H47" i="2" s="1"/>
  <c r="P45" i="2"/>
  <c r="P47" i="2" s="1"/>
  <c r="P89" i="2" s="1"/>
  <c r="L55" i="2"/>
  <c r="L65" i="2" s="1"/>
  <c r="L81" i="2" s="1"/>
  <c r="U69" i="2"/>
  <c r="U73" i="2" s="1"/>
  <c r="G31" i="2"/>
  <c r="W31" i="2"/>
  <c r="Q45" i="2"/>
  <c r="Q47" i="2" s="1"/>
  <c r="T73" i="2"/>
  <c r="F77" i="2"/>
  <c r="F80" i="2" s="1"/>
  <c r="J45" i="2"/>
  <c r="U77" i="2"/>
  <c r="U80" i="2" s="1"/>
  <c r="U81" i="2" s="1"/>
  <c r="K45" i="2"/>
  <c r="K47" i="2" s="1"/>
  <c r="S45" i="2"/>
  <c r="J80" i="2"/>
  <c r="J81" i="2" s="1"/>
  <c r="J89" i="2" s="1"/>
  <c r="D45" i="2"/>
  <c r="D47" i="2" s="1"/>
  <c r="T45" i="2"/>
  <c r="T47" i="2" s="1"/>
  <c r="F55" i="2"/>
  <c r="F65" i="2" s="1"/>
  <c r="S65" i="2"/>
  <c r="S81" i="2" s="1"/>
  <c r="S89" i="2" s="1"/>
  <c r="Z24" i="1"/>
  <c r="AB25" i="1"/>
  <c r="AB40" i="1"/>
  <c r="AA103" i="1"/>
  <c r="Z103" i="1"/>
  <c r="AB102" i="1"/>
  <c r="AB101" i="1"/>
  <c r="AA84" i="1"/>
  <c r="Z84" i="1"/>
  <c r="AB83" i="1"/>
  <c r="AB82" i="1"/>
  <c r="AB81" i="1"/>
  <c r="AB80" i="1"/>
  <c r="AB79" i="1"/>
  <c r="AB78" i="1"/>
  <c r="AA77" i="1"/>
  <c r="Z77" i="1"/>
  <c r="AB76" i="1"/>
  <c r="AB75" i="1"/>
  <c r="AB74" i="1"/>
  <c r="AB73" i="1"/>
  <c r="AA72" i="1"/>
  <c r="Z72" i="1"/>
  <c r="AB71" i="1"/>
  <c r="AB70" i="1"/>
  <c r="AA69" i="1"/>
  <c r="Z69" i="1"/>
  <c r="AB68" i="1"/>
  <c r="AB67" i="1"/>
  <c r="AB66" i="1"/>
  <c r="AB65" i="1"/>
  <c r="AB64" i="1"/>
  <c r="AB63" i="1"/>
  <c r="AB62" i="1"/>
  <c r="AB61" i="1"/>
  <c r="AB60" i="1"/>
  <c r="AB59" i="1"/>
  <c r="AA43" i="1"/>
  <c r="Z43" i="1"/>
  <c r="AB41" i="1"/>
  <c r="AB39" i="1"/>
  <c r="AB38" i="1"/>
  <c r="AB37" i="1"/>
  <c r="AA36" i="1"/>
  <c r="Z36" i="1"/>
  <c r="AB35" i="1"/>
  <c r="AB34" i="1"/>
  <c r="AB33" i="1"/>
  <c r="AA31" i="1"/>
  <c r="Z31" i="1"/>
  <c r="AB30" i="1"/>
  <c r="AB29" i="1"/>
  <c r="AB28" i="1"/>
  <c r="AB27" i="1"/>
  <c r="AB24" i="1"/>
  <c r="AB23" i="1"/>
  <c r="AB22" i="1"/>
  <c r="AB21" i="1"/>
  <c r="AB19" i="1"/>
  <c r="AB18" i="1"/>
  <c r="AB17" i="1"/>
  <c r="AB16" i="1"/>
  <c r="AB15" i="1"/>
  <c r="AB14" i="1"/>
  <c r="AB13" i="1"/>
  <c r="AA20" i="1"/>
  <c r="AB12" i="1"/>
  <c r="AB11" i="1"/>
  <c r="AB10" i="1"/>
  <c r="AB9" i="1"/>
  <c r="AB8" i="1"/>
  <c r="X31" i="2" l="1"/>
  <c r="X45" i="2"/>
  <c r="T48" i="2"/>
  <c r="O47" i="2"/>
  <c r="N48" i="2" s="1"/>
  <c r="F31" i="2"/>
  <c r="I46" i="2"/>
  <c r="K48" i="2"/>
  <c r="I45" i="2"/>
  <c r="L31" i="2"/>
  <c r="O31" i="2"/>
  <c r="Z48" i="2"/>
  <c r="U89" i="2"/>
  <c r="L89" i="2"/>
  <c r="E48" i="2"/>
  <c r="X46" i="2"/>
  <c r="X47" i="2"/>
  <c r="W48" i="2" s="1"/>
  <c r="W89" i="2"/>
  <c r="V89" i="2"/>
  <c r="X81" i="2"/>
  <c r="Q89" i="2"/>
  <c r="H89" i="2"/>
  <c r="T81" i="2"/>
  <c r="D89" i="2"/>
  <c r="R45" i="2"/>
  <c r="R47" i="2" s="1"/>
  <c r="Q48" i="2" s="1"/>
  <c r="E89" i="2"/>
  <c r="O89" i="2"/>
  <c r="N90" i="2" s="1"/>
  <c r="F81" i="2"/>
  <c r="F89" i="2" s="1"/>
  <c r="K89" i="2"/>
  <c r="K90" i="2" s="1"/>
  <c r="K82" i="2"/>
  <c r="AB103" i="1"/>
  <c r="AB72" i="1"/>
  <c r="AA85" i="1"/>
  <c r="Z50" i="1"/>
  <c r="AA50" i="1"/>
  <c r="AB36" i="1"/>
  <c r="AB84" i="1"/>
  <c r="AB77" i="1"/>
  <c r="Z85" i="1"/>
  <c r="AB69" i="1"/>
  <c r="Z44" i="1"/>
  <c r="AA44" i="1"/>
  <c r="AB43" i="1"/>
  <c r="AB31" i="1"/>
  <c r="AB20" i="1"/>
  <c r="AA49" i="1"/>
  <c r="AA32" i="1"/>
  <c r="Z20" i="1"/>
  <c r="X89" i="2" l="1"/>
  <c r="W90" i="2" s="1"/>
  <c r="R89" i="2"/>
  <c r="I47" i="2"/>
  <c r="W82" i="2"/>
  <c r="T82" i="2"/>
  <c r="T89" i="2"/>
  <c r="T90" i="2" s="1"/>
  <c r="E90" i="2"/>
  <c r="Q90" i="2"/>
  <c r="E82" i="2"/>
  <c r="AB85" i="1"/>
  <c r="AB32" i="1"/>
  <c r="AB50" i="1"/>
  <c r="AB44" i="1"/>
  <c r="AB49" i="1"/>
  <c r="AA51" i="1"/>
  <c r="AA93" i="1" s="1"/>
  <c r="Z49" i="1"/>
  <c r="Z32" i="1"/>
  <c r="I89" i="2" l="1"/>
  <c r="H90" i="2" s="1"/>
  <c r="H48" i="2"/>
  <c r="AA86" i="1"/>
  <c r="AB51" i="1"/>
  <c r="AA52" i="1" s="1"/>
  <c r="Z51" i="1"/>
  <c r="AA111" i="1"/>
  <c r="W102" i="1"/>
  <c r="W103" i="1" s="1"/>
  <c r="V102" i="1"/>
  <c r="V103" i="1" s="1"/>
  <c r="X103" i="1"/>
  <c r="X84" i="1"/>
  <c r="W84" i="1"/>
  <c r="V84" i="1"/>
  <c r="X77" i="1"/>
  <c r="W77" i="1"/>
  <c r="V77" i="1"/>
  <c r="X72" i="1"/>
  <c r="W72" i="1"/>
  <c r="V72" i="1"/>
  <c r="Y72" i="1" s="1"/>
  <c r="X69" i="1"/>
  <c r="W69" i="1"/>
  <c r="V69" i="1"/>
  <c r="Y83" i="1"/>
  <c r="Y82" i="1"/>
  <c r="Y81" i="1"/>
  <c r="Y80" i="1"/>
  <c r="Y79" i="1"/>
  <c r="Y78" i="1"/>
  <c r="Y76" i="1"/>
  <c r="Y75" i="1"/>
  <c r="Y74" i="1"/>
  <c r="Y73" i="1"/>
  <c r="Y71" i="1"/>
  <c r="Y70" i="1"/>
  <c r="Y68" i="1"/>
  <c r="Y67" i="1"/>
  <c r="Y66" i="1"/>
  <c r="Y65" i="1"/>
  <c r="Y64" i="1"/>
  <c r="Y63" i="1"/>
  <c r="Y62" i="1"/>
  <c r="Y61" i="1"/>
  <c r="Y60" i="1"/>
  <c r="Y59" i="1"/>
  <c r="AB93" i="1" l="1"/>
  <c r="AB111" i="1" s="1"/>
  <c r="Z93" i="1"/>
  <c r="Y102" i="1"/>
  <c r="Y103" i="1"/>
  <c r="Y101" i="1"/>
  <c r="W85" i="1"/>
  <c r="Y84" i="1"/>
  <c r="X85" i="1"/>
  <c r="V85" i="1"/>
  <c r="Y77" i="1"/>
  <c r="Y69" i="1"/>
  <c r="Z111" i="1" l="1"/>
  <c r="Y85" i="1"/>
  <c r="W86" i="1" s="1"/>
  <c r="U101" i="1" l="1"/>
  <c r="U102" i="1"/>
  <c r="S103" i="1"/>
  <c r="T103" i="1"/>
  <c r="Y41" i="1"/>
  <c r="Y39" i="1"/>
  <c r="Y38" i="1"/>
  <c r="Y37" i="1"/>
  <c r="Y35" i="1"/>
  <c r="Y34" i="1"/>
  <c r="Y33" i="1"/>
  <c r="Y30" i="1"/>
  <c r="Y29" i="1"/>
  <c r="Y28" i="1"/>
  <c r="Y27" i="1"/>
  <c r="Y24" i="1"/>
  <c r="Y23" i="1"/>
  <c r="Y22" i="1"/>
  <c r="Y19" i="1"/>
  <c r="Y18" i="1"/>
  <c r="Y17" i="1"/>
  <c r="Y16" i="1"/>
  <c r="Y15" i="1"/>
  <c r="Y14" i="1"/>
  <c r="Y13" i="1"/>
  <c r="Y12" i="1"/>
  <c r="Y11" i="1"/>
  <c r="Y10" i="1"/>
  <c r="Y9" i="1"/>
  <c r="Y8" i="1"/>
  <c r="X43" i="1"/>
  <c r="X36" i="1"/>
  <c r="X31" i="1"/>
  <c r="X50" i="1" s="1"/>
  <c r="X20" i="1"/>
  <c r="V20" i="1"/>
  <c r="W20" i="1"/>
  <c r="Y21" i="1"/>
  <c r="V31" i="1"/>
  <c r="W31" i="1"/>
  <c r="V36" i="1"/>
  <c r="W36" i="1"/>
  <c r="V43" i="1"/>
  <c r="W43" i="1"/>
  <c r="X49" i="1" l="1"/>
  <c r="X51" i="1" s="1"/>
  <c r="X93" i="1" s="1"/>
  <c r="X111" i="1" s="1"/>
  <c r="Y20" i="1"/>
  <c r="X44" i="1"/>
  <c r="Y36" i="1"/>
  <c r="Y43" i="1"/>
  <c r="U103" i="1"/>
  <c r="Y31" i="1"/>
  <c r="V50" i="1"/>
  <c r="X32" i="1"/>
  <c r="W44" i="1"/>
  <c r="W50" i="1"/>
  <c r="V49" i="1"/>
  <c r="W49" i="1"/>
  <c r="V44" i="1"/>
  <c r="W32" i="1"/>
  <c r="V32" i="1"/>
  <c r="Y49" i="1" l="1"/>
  <c r="Y44" i="1"/>
  <c r="Y32" i="1"/>
  <c r="V51" i="1"/>
  <c r="W51" i="1"/>
  <c r="Y50" i="1"/>
  <c r="Y51" i="1" s="1"/>
  <c r="V93" i="1" l="1"/>
  <c r="W93" i="1"/>
  <c r="T84" i="1"/>
  <c r="S84" i="1"/>
  <c r="U83" i="1"/>
  <c r="U82" i="1"/>
  <c r="U81" i="1"/>
  <c r="U80" i="1"/>
  <c r="U79" i="1"/>
  <c r="U78" i="1"/>
  <c r="T77" i="1"/>
  <c r="S77" i="1"/>
  <c r="U76" i="1"/>
  <c r="U75" i="1"/>
  <c r="U74" i="1"/>
  <c r="U73" i="1"/>
  <c r="T72" i="1"/>
  <c r="S72" i="1"/>
  <c r="U71" i="1"/>
  <c r="U70" i="1"/>
  <c r="U72" i="1" s="1"/>
  <c r="T69" i="1"/>
  <c r="S69" i="1"/>
  <c r="U68" i="1"/>
  <c r="U67" i="1"/>
  <c r="U66" i="1"/>
  <c r="U65" i="1"/>
  <c r="U64" i="1"/>
  <c r="U63" i="1"/>
  <c r="U62" i="1"/>
  <c r="U61" i="1"/>
  <c r="U60" i="1"/>
  <c r="U59" i="1"/>
  <c r="U77" i="1" l="1"/>
  <c r="S85" i="1"/>
  <c r="W111" i="1"/>
  <c r="T85" i="1"/>
  <c r="V111" i="1"/>
  <c r="Y93" i="1"/>
  <c r="U69" i="1"/>
  <c r="U84" i="1"/>
  <c r="U85" i="1" s="1"/>
  <c r="W52" i="1"/>
  <c r="T86" i="1" l="1"/>
  <c r="Y111" i="1"/>
  <c r="T12" i="1"/>
  <c r="S12" i="1"/>
  <c r="T14" i="1"/>
  <c r="S14" i="1"/>
  <c r="U8" i="1" l="1"/>
  <c r="U9" i="1"/>
  <c r="U10" i="1"/>
  <c r="U11" i="1"/>
  <c r="U12" i="1"/>
  <c r="U13" i="1"/>
  <c r="U14" i="1"/>
  <c r="U15" i="1"/>
  <c r="U16" i="1"/>
  <c r="U17" i="1"/>
  <c r="U18" i="1"/>
  <c r="U19" i="1"/>
  <c r="S20" i="1"/>
  <c r="T20" i="1"/>
  <c r="U21" i="1"/>
  <c r="U22" i="1"/>
  <c r="U23" i="1"/>
  <c r="U24" i="1"/>
  <c r="U27" i="1"/>
  <c r="U28" i="1"/>
  <c r="U29" i="1"/>
  <c r="U30" i="1"/>
  <c r="S31" i="1"/>
  <c r="T31" i="1"/>
  <c r="U33" i="1"/>
  <c r="U34" i="1"/>
  <c r="U35" i="1"/>
  <c r="S36" i="1"/>
  <c r="T36" i="1"/>
  <c r="U37" i="1"/>
  <c r="U38" i="1"/>
  <c r="U39" i="1"/>
  <c r="U41" i="1"/>
  <c r="S43" i="1"/>
  <c r="T43" i="1"/>
  <c r="U43" i="1" l="1"/>
  <c r="T50" i="1"/>
  <c r="T44" i="1"/>
  <c r="S50" i="1"/>
  <c r="U31" i="1"/>
  <c r="U20" i="1"/>
  <c r="S44" i="1"/>
  <c r="U36" i="1"/>
  <c r="S32" i="1"/>
  <c r="T32" i="1"/>
  <c r="T49" i="1"/>
  <c r="S49" i="1"/>
  <c r="U44" i="1" l="1"/>
  <c r="U50" i="1"/>
  <c r="T51" i="1"/>
  <c r="U49" i="1"/>
  <c r="U32" i="1"/>
  <c r="S51" i="1"/>
  <c r="R59" i="1"/>
  <c r="R60" i="1"/>
  <c r="R61" i="1"/>
  <c r="R62" i="1"/>
  <c r="R63" i="1"/>
  <c r="R64" i="1"/>
  <c r="R65" i="1"/>
  <c r="R66" i="1"/>
  <c r="R67" i="1"/>
  <c r="R68" i="1"/>
  <c r="P69" i="1"/>
  <c r="Q69" i="1"/>
  <c r="R70" i="1"/>
  <c r="R71" i="1"/>
  <c r="P72" i="1"/>
  <c r="Q72" i="1"/>
  <c r="R73" i="1"/>
  <c r="R74" i="1"/>
  <c r="R75" i="1"/>
  <c r="R76" i="1"/>
  <c r="P77" i="1"/>
  <c r="Q77" i="1"/>
  <c r="R78" i="1"/>
  <c r="R79" i="1"/>
  <c r="R80" i="1"/>
  <c r="R81" i="1"/>
  <c r="R82" i="1"/>
  <c r="R83" i="1"/>
  <c r="P84" i="1"/>
  <c r="Q84" i="1"/>
  <c r="T93" i="1" l="1"/>
  <c r="T111" i="1" s="1"/>
  <c r="S93" i="1"/>
  <c r="S111" i="1" s="1"/>
  <c r="U51" i="1"/>
  <c r="U93" i="1" s="1"/>
  <c r="U111" i="1" s="1"/>
  <c r="R77" i="1"/>
  <c r="Q85" i="1"/>
  <c r="P85" i="1"/>
  <c r="R72" i="1"/>
  <c r="R69" i="1"/>
  <c r="R84" i="1"/>
  <c r="T52" i="1" l="1"/>
  <c r="R85" i="1"/>
  <c r="Q86" i="1" s="1"/>
  <c r="R101" i="1" l="1"/>
  <c r="R102" i="1"/>
  <c r="P103" i="1"/>
  <c r="Q103" i="1"/>
  <c r="O59" i="1"/>
  <c r="O60" i="1"/>
  <c r="O61" i="1"/>
  <c r="O62" i="1"/>
  <c r="O63" i="1"/>
  <c r="O64" i="1"/>
  <c r="O65" i="1"/>
  <c r="O66" i="1"/>
  <c r="O67" i="1"/>
  <c r="O68" i="1"/>
  <c r="M69" i="1"/>
  <c r="N69" i="1"/>
  <c r="O70" i="1"/>
  <c r="O71" i="1"/>
  <c r="M72" i="1"/>
  <c r="N72" i="1"/>
  <c r="O73" i="1"/>
  <c r="O74" i="1"/>
  <c r="O75" i="1"/>
  <c r="O76" i="1"/>
  <c r="M77" i="1"/>
  <c r="N77" i="1"/>
  <c r="O78" i="1"/>
  <c r="O79" i="1"/>
  <c r="O80" i="1"/>
  <c r="O81" i="1"/>
  <c r="O82" i="1"/>
  <c r="O83" i="1"/>
  <c r="M84" i="1"/>
  <c r="N84" i="1"/>
  <c r="R103" i="1" l="1"/>
  <c r="O77" i="1"/>
  <c r="N85" i="1"/>
  <c r="M85" i="1"/>
  <c r="O69" i="1"/>
  <c r="O84" i="1"/>
  <c r="O72" i="1"/>
  <c r="O101" i="1"/>
  <c r="O102" i="1"/>
  <c r="N103" i="1"/>
  <c r="M103" i="1"/>
  <c r="F22" i="1"/>
  <c r="AJ22" i="1" s="1"/>
  <c r="I22" i="1"/>
  <c r="L22" i="1"/>
  <c r="O22" i="1"/>
  <c r="R22" i="1"/>
  <c r="F23" i="1"/>
  <c r="AJ23" i="1" s="1"/>
  <c r="I23" i="1"/>
  <c r="L23" i="1"/>
  <c r="O23" i="1"/>
  <c r="R23" i="1"/>
  <c r="F24" i="1"/>
  <c r="AJ24" i="1" s="1"/>
  <c r="I24" i="1"/>
  <c r="L24" i="1"/>
  <c r="O24" i="1"/>
  <c r="R24" i="1"/>
  <c r="R30" i="1"/>
  <c r="O30" i="1"/>
  <c r="L30" i="1"/>
  <c r="I30" i="1"/>
  <c r="R21" i="1"/>
  <c r="O21" i="1"/>
  <c r="L21" i="1"/>
  <c r="I21" i="1"/>
  <c r="L16" i="1"/>
  <c r="I10" i="1"/>
  <c r="R13" i="1"/>
  <c r="R12" i="1"/>
  <c r="R11" i="1"/>
  <c r="R10" i="1"/>
  <c r="R9" i="1"/>
  <c r="O13" i="1"/>
  <c r="O12" i="1"/>
  <c r="O11" i="1"/>
  <c r="O10" i="1"/>
  <c r="O9" i="1"/>
  <c r="L13" i="1"/>
  <c r="L12" i="1"/>
  <c r="L11" i="1"/>
  <c r="L10" i="1"/>
  <c r="L9" i="1"/>
  <c r="I13" i="1"/>
  <c r="I12" i="1"/>
  <c r="I11" i="1"/>
  <c r="I9" i="1"/>
  <c r="F13" i="1"/>
  <c r="AJ13" i="1" s="1"/>
  <c r="F12" i="1"/>
  <c r="AJ12" i="1" s="1"/>
  <c r="F11" i="1"/>
  <c r="AJ11" i="1" s="1"/>
  <c r="F10" i="1"/>
  <c r="AJ10" i="1" s="1"/>
  <c r="F9" i="1"/>
  <c r="AJ9" i="1" s="1"/>
  <c r="R8" i="1"/>
  <c r="R14" i="1"/>
  <c r="R15" i="1"/>
  <c r="R16" i="1"/>
  <c r="R17" i="1"/>
  <c r="R18" i="1"/>
  <c r="R19" i="1"/>
  <c r="P20" i="1"/>
  <c r="Q20" i="1"/>
  <c r="R27" i="1"/>
  <c r="R28" i="1"/>
  <c r="R29" i="1"/>
  <c r="P31" i="1"/>
  <c r="Q31" i="1"/>
  <c r="R33" i="1"/>
  <c r="R34" i="1"/>
  <c r="R35" i="1"/>
  <c r="P36" i="1"/>
  <c r="Q36" i="1"/>
  <c r="R37" i="1"/>
  <c r="R38" i="1"/>
  <c r="R39" i="1"/>
  <c r="R41" i="1"/>
  <c r="P43" i="1"/>
  <c r="P44" i="1" s="1"/>
  <c r="Q43" i="1"/>
  <c r="L59" i="1"/>
  <c r="L60" i="1"/>
  <c r="L61" i="1"/>
  <c r="L62" i="1"/>
  <c r="L63" i="1"/>
  <c r="L64" i="1"/>
  <c r="L65" i="1"/>
  <c r="L66" i="1"/>
  <c r="L67" i="1"/>
  <c r="L68" i="1"/>
  <c r="J69" i="1"/>
  <c r="K69" i="1"/>
  <c r="L70" i="1"/>
  <c r="L71" i="1"/>
  <c r="J72" i="1"/>
  <c r="K72" i="1"/>
  <c r="L73" i="1"/>
  <c r="L74" i="1"/>
  <c r="L75" i="1"/>
  <c r="L76" i="1"/>
  <c r="J77" i="1"/>
  <c r="K77" i="1"/>
  <c r="L78" i="1"/>
  <c r="L79" i="1"/>
  <c r="L80" i="1"/>
  <c r="L81" i="1"/>
  <c r="L82" i="1"/>
  <c r="L83" i="1"/>
  <c r="J84" i="1"/>
  <c r="K84" i="1"/>
  <c r="L102" i="1"/>
  <c r="N43" i="1"/>
  <c r="M43" i="1"/>
  <c r="M50" i="1" s="1"/>
  <c r="O41" i="1"/>
  <c r="O39" i="1"/>
  <c r="O38" i="1"/>
  <c r="O37" i="1"/>
  <c r="N36" i="1"/>
  <c r="M36" i="1"/>
  <c r="O35" i="1"/>
  <c r="O34" i="1"/>
  <c r="O33" i="1"/>
  <c r="N31" i="1"/>
  <c r="N50" i="1" s="1"/>
  <c r="M31" i="1"/>
  <c r="O29" i="1"/>
  <c r="O28" i="1"/>
  <c r="O27" i="1"/>
  <c r="N20" i="1"/>
  <c r="N49" i="1" s="1"/>
  <c r="M20" i="1"/>
  <c r="O19" i="1"/>
  <c r="O18" i="1"/>
  <c r="O17" i="1"/>
  <c r="O16" i="1"/>
  <c r="O15" i="1"/>
  <c r="O14" i="1"/>
  <c r="O8" i="1"/>
  <c r="I102" i="1"/>
  <c r="I101" i="1"/>
  <c r="G103" i="1"/>
  <c r="H103" i="1"/>
  <c r="I59" i="1"/>
  <c r="I60" i="1"/>
  <c r="I61" i="1"/>
  <c r="I62" i="1"/>
  <c r="I63" i="1"/>
  <c r="I64" i="1"/>
  <c r="I65" i="1"/>
  <c r="I66" i="1"/>
  <c r="I67" i="1"/>
  <c r="I68" i="1"/>
  <c r="G69" i="1"/>
  <c r="H69" i="1"/>
  <c r="I70" i="1"/>
  <c r="I71" i="1"/>
  <c r="G72" i="1"/>
  <c r="H72" i="1"/>
  <c r="I73" i="1"/>
  <c r="I77" i="1" s="1"/>
  <c r="I74" i="1"/>
  <c r="I75" i="1"/>
  <c r="I76" i="1"/>
  <c r="G77" i="1"/>
  <c r="H77" i="1"/>
  <c r="I78" i="1"/>
  <c r="I79" i="1"/>
  <c r="I80" i="1"/>
  <c r="I81" i="1"/>
  <c r="I82" i="1"/>
  <c r="I83" i="1"/>
  <c r="G84" i="1"/>
  <c r="H84" i="1"/>
  <c r="L8" i="1"/>
  <c r="L14" i="1"/>
  <c r="L15" i="1"/>
  <c r="L17" i="1"/>
  <c r="L18" i="1"/>
  <c r="L19" i="1"/>
  <c r="J20" i="1"/>
  <c r="K20" i="1"/>
  <c r="L27" i="1"/>
  <c r="L28" i="1"/>
  <c r="L29" i="1"/>
  <c r="J31" i="1"/>
  <c r="K31" i="1"/>
  <c r="L33" i="1"/>
  <c r="L34" i="1"/>
  <c r="L35" i="1"/>
  <c r="J36" i="1"/>
  <c r="J44" i="1" s="1"/>
  <c r="K36" i="1"/>
  <c r="L37" i="1"/>
  <c r="L38" i="1"/>
  <c r="L39" i="1"/>
  <c r="L41" i="1"/>
  <c r="J43" i="1"/>
  <c r="K43" i="1"/>
  <c r="E70" i="1"/>
  <c r="D70" i="1"/>
  <c r="F71" i="1"/>
  <c r="D69" i="1"/>
  <c r="AH69" i="1" s="1"/>
  <c r="F61" i="1"/>
  <c r="I8" i="1"/>
  <c r="I14" i="1"/>
  <c r="I15" i="1"/>
  <c r="I16" i="1"/>
  <c r="I17" i="1"/>
  <c r="I18" i="1"/>
  <c r="I19" i="1"/>
  <c r="G20" i="1"/>
  <c r="H20" i="1"/>
  <c r="I27" i="1"/>
  <c r="I28" i="1"/>
  <c r="I29" i="1"/>
  <c r="G31" i="1"/>
  <c r="H31" i="1"/>
  <c r="I33" i="1"/>
  <c r="I34" i="1"/>
  <c r="I35" i="1"/>
  <c r="G36" i="1"/>
  <c r="H36" i="1"/>
  <c r="I37" i="1"/>
  <c r="I38" i="1"/>
  <c r="I39" i="1"/>
  <c r="I41" i="1"/>
  <c r="G43" i="1"/>
  <c r="H43" i="1"/>
  <c r="F76" i="1"/>
  <c r="E77" i="1"/>
  <c r="AI77" i="1" s="1"/>
  <c r="D77" i="1"/>
  <c r="AH77" i="1" s="1"/>
  <c r="E69" i="1"/>
  <c r="AI69" i="1" s="1"/>
  <c r="F102" i="1"/>
  <c r="F101" i="1"/>
  <c r="E103" i="1"/>
  <c r="D103" i="1"/>
  <c r="F83" i="1"/>
  <c r="F82" i="1"/>
  <c r="F81" i="1"/>
  <c r="F80" i="1"/>
  <c r="F79" i="1"/>
  <c r="F78" i="1"/>
  <c r="F75" i="1"/>
  <c r="F74" i="1"/>
  <c r="F73" i="1"/>
  <c r="F68" i="1"/>
  <c r="F67" i="1"/>
  <c r="F66" i="1"/>
  <c r="F65" i="1"/>
  <c r="F64" i="1"/>
  <c r="F63" i="1"/>
  <c r="F62" i="1"/>
  <c r="F60" i="1"/>
  <c r="F59" i="1"/>
  <c r="E84" i="1"/>
  <c r="AI84" i="1" s="1"/>
  <c r="D84" i="1"/>
  <c r="AH84" i="1" s="1"/>
  <c r="F41" i="1"/>
  <c r="AJ41" i="1" s="1"/>
  <c r="F39" i="1"/>
  <c r="AJ39" i="1" s="1"/>
  <c r="F38" i="1"/>
  <c r="AJ38" i="1" s="1"/>
  <c r="F37" i="1"/>
  <c r="AJ37" i="1" s="1"/>
  <c r="F35" i="1"/>
  <c r="AJ35" i="1" s="1"/>
  <c r="F34" i="1"/>
  <c r="AJ34" i="1" s="1"/>
  <c r="F33" i="1"/>
  <c r="AJ33" i="1" s="1"/>
  <c r="F30" i="1"/>
  <c r="AJ30" i="1" s="1"/>
  <c r="F29" i="1"/>
  <c r="AJ29" i="1" s="1"/>
  <c r="F28" i="1"/>
  <c r="AJ28" i="1" s="1"/>
  <c r="F27" i="1"/>
  <c r="AJ27" i="1" s="1"/>
  <c r="F21" i="1"/>
  <c r="AJ21" i="1" s="1"/>
  <c r="F19" i="1"/>
  <c r="AJ19" i="1" s="1"/>
  <c r="F18" i="1"/>
  <c r="AJ18" i="1" s="1"/>
  <c r="F17" i="1"/>
  <c r="AJ17" i="1" s="1"/>
  <c r="F16" i="1"/>
  <c r="AJ16" i="1" s="1"/>
  <c r="F15" i="1"/>
  <c r="AJ15" i="1" s="1"/>
  <c r="F14" i="1"/>
  <c r="AJ14" i="1" s="1"/>
  <c r="F8" i="1"/>
  <c r="E43" i="1"/>
  <c r="AI43" i="1" s="1"/>
  <c r="D43" i="1"/>
  <c r="AH43" i="1" s="1"/>
  <c r="E36" i="1"/>
  <c r="AI36" i="1" s="1"/>
  <c r="D36" i="1"/>
  <c r="AH36" i="1" s="1"/>
  <c r="E31" i="1"/>
  <c r="AI31" i="1" s="1"/>
  <c r="D31" i="1"/>
  <c r="AH31" i="1" s="1"/>
  <c r="E20" i="1"/>
  <c r="D20" i="1"/>
  <c r="J103" i="1"/>
  <c r="G32" i="1"/>
  <c r="L101" i="1"/>
  <c r="L103" i="1" s="1"/>
  <c r="G50" i="1"/>
  <c r="K103" i="1"/>
  <c r="J50" i="1" l="1"/>
  <c r="H50" i="1"/>
  <c r="J85" i="1"/>
  <c r="I36" i="1"/>
  <c r="L43" i="1"/>
  <c r="O31" i="1"/>
  <c r="H85" i="1"/>
  <c r="G44" i="1"/>
  <c r="G85" i="1"/>
  <c r="E49" i="1"/>
  <c r="AI49" i="1" s="1"/>
  <c r="G49" i="1"/>
  <c r="Q50" i="1"/>
  <c r="Q32" i="1"/>
  <c r="N44" i="1"/>
  <c r="K85" i="1"/>
  <c r="G51" i="1"/>
  <c r="K50" i="1"/>
  <c r="K49" i="1"/>
  <c r="J32" i="1"/>
  <c r="M49" i="1"/>
  <c r="M51" i="1" s="1"/>
  <c r="M44" i="1"/>
  <c r="N51" i="1"/>
  <c r="P32" i="1"/>
  <c r="P49" i="1"/>
  <c r="L31" i="1"/>
  <c r="L72" i="1"/>
  <c r="N32" i="1"/>
  <c r="I69" i="1"/>
  <c r="O36" i="1"/>
  <c r="L77" i="1"/>
  <c r="L69" i="1"/>
  <c r="I43" i="1"/>
  <c r="I44" i="1" s="1"/>
  <c r="J49" i="1"/>
  <c r="J51" i="1" s="1"/>
  <c r="H49" i="1"/>
  <c r="H51" i="1" s="1"/>
  <c r="F20" i="1"/>
  <c r="AJ20" i="1" s="1"/>
  <c r="F31" i="1"/>
  <c r="AJ31" i="1" s="1"/>
  <c r="O20" i="1"/>
  <c r="Q44" i="1"/>
  <c r="E50" i="1"/>
  <c r="AI50" i="1" s="1"/>
  <c r="H44" i="1"/>
  <c r="E44" i="1"/>
  <c r="AI44" i="1" s="1"/>
  <c r="E72" i="1"/>
  <c r="AI72" i="1" s="1"/>
  <c r="R31" i="1"/>
  <c r="I31" i="1"/>
  <c r="E32" i="1"/>
  <c r="AI32" i="1" s="1"/>
  <c r="K44" i="1"/>
  <c r="M32" i="1"/>
  <c r="P50" i="1"/>
  <c r="L36" i="1"/>
  <c r="D50" i="1"/>
  <c r="AH50" i="1" s="1"/>
  <c r="I72" i="1"/>
  <c r="L84" i="1"/>
  <c r="I84" i="1"/>
  <c r="F103" i="1"/>
  <c r="O103" i="1"/>
  <c r="F70" i="1"/>
  <c r="K32" i="1"/>
  <c r="E85" i="1"/>
  <c r="AI85" i="1" s="1"/>
  <c r="F36" i="1"/>
  <c r="AJ36" i="1" s="1"/>
  <c r="R43" i="1"/>
  <c r="O43" i="1"/>
  <c r="F84" i="1"/>
  <c r="AJ84" i="1" s="1"/>
  <c r="D44" i="1"/>
  <c r="AH44" i="1" s="1"/>
  <c r="Q49" i="1"/>
  <c r="Q51" i="1" s="1"/>
  <c r="R20" i="1"/>
  <c r="D32" i="1"/>
  <c r="AH32" i="1" s="1"/>
  <c r="L20" i="1"/>
  <c r="F69" i="1"/>
  <c r="AJ69" i="1" s="1"/>
  <c r="R36" i="1"/>
  <c r="I103" i="1"/>
  <c r="D72" i="1"/>
  <c r="AH72" i="1" s="1"/>
  <c r="D49" i="1"/>
  <c r="F77" i="1"/>
  <c r="AJ77" i="1" s="1"/>
  <c r="F43" i="1"/>
  <c r="AJ43" i="1" s="1"/>
  <c r="I20" i="1"/>
  <c r="H32" i="1"/>
  <c r="O85" i="1"/>
  <c r="L44" i="1" l="1"/>
  <c r="L50" i="1"/>
  <c r="G93" i="1"/>
  <c r="G111" i="1" s="1"/>
  <c r="R44" i="1"/>
  <c r="I50" i="1"/>
  <c r="F49" i="1"/>
  <c r="AJ49" i="1" s="1"/>
  <c r="P51" i="1"/>
  <c r="P93" i="1" s="1"/>
  <c r="P111" i="1" s="1"/>
  <c r="O44" i="1"/>
  <c r="R50" i="1"/>
  <c r="M93" i="1"/>
  <c r="M111" i="1" s="1"/>
  <c r="F32" i="1"/>
  <c r="AJ32" i="1" s="1"/>
  <c r="N93" i="1"/>
  <c r="N111" i="1" s="1"/>
  <c r="K51" i="1"/>
  <c r="H93" i="1"/>
  <c r="H111" i="1" s="1"/>
  <c r="J93" i="1"/>
  <c r="J111" i="1" s="1"/>
  <c r="O49" i="1"/>
  <c r="O32" i="1"/>
  <c r="E51" i="1"/>
  <c r="AI51" i="1" s="1"/>
  <c r="I85" i="1"/>
  <c r="H86" i="1" s="1"/>
  <c r="L85" i="1"/>
  <c r="K86" i="1" s="1"/>
  <c r="Q93" i="1"/>
  <c r="Q111" i="1" s="1"/>
  <c r="I49" i="1"/>
  <c r="I51" i="1" s="1"/>
  <c r="H52" i="1" s="1"/>
  <c r="I32" i="1"/>
  <c r="F72" i="1"/>
  <c r="AJ72" i="1" s="1"/>
  <c r="D51" i="1"/>
  <c r="AH51" i="1" s="1"/>
  <c r="F50" i="1"/>
  <c r="AJ50" i="1" s="1"/>
  <c r="N86" i="1"/>
  <c r="R49" i="1"/>
  <c r="R32" i="1"/>
  <c r="O50" i="1"/>
  <c r="D85" i="1"/>
  <c r="AH85" i="1" s="1"/>
  <c r="L32" i="1"/>
  <c r="L49" i="1"/>
  <c r="L51" i="1" s="1"/>
  <c r="L93" i="1" s="1"/>
  <c r="L111" i="1" s="1"/>
  <c r="F44" i="1"/>
  <c r="AJ44" i="1" s="1"/>
  <c r="F85" i="1"/>
  <c r="AJ85" i="1" s="1"/>
  <c r="R51" i="1" l="1"/>
  <c r="Q52" i="1" s="1"/>
  <c r="E86" i="1"/>
  <c r="E111" i="1"/>
  <c r="E93" i="1"/>
  <c r="AI93" i="1" s="1"/>
  <c r="K52" i="1"/>
  <c r="O51" i="1"/>
  <c r="N52" i="1" s="1"/>
  <c r="K93" i="1"/>
  <c r="K111" i="1" s="1"/>
  <c r="I93" i="1"/>
  <c r="I111" i="1" s="1"/>
  <c r="R93" i="1"/>
  <c r="R111" i="1" s="1"/>
  <c r="F51" i="1"/>
  <c r="AJ51" i="1" s="1"/>
  <c r="D111" i="1"/>
  <c r="D93" i="1"/>
  <c r="AH93" i="1" s="1"/>
  <c r="O93" i="1" l="1"/>
  <c r="O111" i="1" s="1"/>
  <c r="E52" i="1"/>
  <c r="F111" i="1"/>
  <c r="F93" i="1"/>
  <c r="AJ93" i="1" s="1"/>
</calcChain>
</file>

<file path=xl/sharedStrings.xml><?xml version="1.0" encoding="utf-8"?>
<sst xmlns="http://schemas.openxmlformats.org/spreadsheetml/2006/main" count="499" uniqueCount="80">
  <si>
    <t>HE</t>
  </si>
  <si>
    <t>Type court</t>
  </si>
  <si>
    <t>Hautes Ecoles et Ecoles Supérieures des Arts</t>
  </si>
  <si>
    <t>Source : SATURN</t>
  </si>
  <si>
    <t>Type long</t>
  </si>
  <si>
    <t>TOTAL</t>
  </si>
  <si>
    <t>TOTAL HE</t>
  </si>
  <si>
    <t>ESA</t>
  </si>
  <si>
    <t>Arts du spectacle et techn.diff.et comm.</t>
  </si>
  <si>
    <t>Musique</t>
  </si>
  <si>
    <t>Arts plastiques, visuels et de l'espace</t>
  </si>
  <si>
    <t>Théâtre et arts de la parole</t>
  </si>
  <si>
    <t>Hommes</t>
  </si>
  <si>
    <t>Femmes</t>
  </si>
  <si>
    <t>Total</t>
  </si>
  <si>
    <t>2014-2015</t>
  </si>
  <si>
    <t>TOTAL ESA</t>
  </si>
  <si>
    <t>SHU</t>
  </si>
  <si>
    <t>Universités</t>
  </si>
  <si>
    <t>Secteur des sciences humaines et sociales</t>
  </si>
  <si>
    <t>Philosophie</t>
  </si>
  <si>
    <t>Histoire, art et archéologie</t>
  </si>
  <si>
    <t>Information et communication</t>
  </si>
  <si>
    <t>Sciences politiques et sociales</t>
  </si>
  <si>
    <t>Sciences juridiques</t>
  </si>
  <si>
    <t>Criminologie</t>
  </si>
  <si>
    <t>Sciences économiques et de gestion</t>
  </si>
  <si>
    <t>Sciences psychologiques et de l'éducation</t>
  </si>
  <si>
    <t>Sciences</t>
  </si>
  <si>
    <t>Secteur des sciences de la santé</t>
  </si>
  <si>
    <t>Sciences médicales</t>
  </si>
  <si>
    <t>Sciences de la santé publique</t>
  </si>
  <si>
    <t>Sciences vétérinaires</t>
  </si>
  <si>
    <t>Sciences dentaires</t>
  </si>
  <si>
    <t>Sciences biomédicales et pharmaceutiques</t>
  </si>
  <si>
    <t>Sciences de la motricité</t>
  </si>
  <si>
    <t>TOTAL Universités</t>
  </si>
  <si>
    <t>Enseignement supérieur de Promotion sociale</t>
  </si>
  <si>
    <t>Promotion sociale</t>
  </si>
  <si>
    <t>TOTAL promotion sociale</t>
  </si>
  <si>
    <t>TOTAL Enseignement supérieur en Fédération Wallonie Bruxelles</t>
  </si>
  <si>
    <t>Total Enseignement supérieur en FWB</t>
  </si>
  <si>
    <t>Art de bâtir et urbanisme</t>
  </si>
  <si>
    <t>Total Enseignement supérieur de plein exercice</t>
  </si>
  <si>
    <t>TOTAL Enseignement supérieur de plein exercice (HE + ESA + Universités)</t>
  </si>
  <si>
    <t>2015-2016</t>
  </si>
  <si>
    <t>Langues et lettres et traductologie</t>
  </si>
  <si>
    <t>Secteur des sciences et techniques</t>
  </si>
  <si>
    <t>Secteur Art</t>
  </si>
  <si>
    <t>Art et sciences de l'art</t>
  </si>
  <si>
    <t>Art du spectacle Technique de diffusion…</t>
  </si>
  <si>
    <t>2016-2017</t>
  </si>
  <si>
    <t>Langues, lettres et traductologie</t>
  </si>
  <si>
    <t>Théologie</t>
  </si>
  <si>
    <t>2017-2018</t>
  </si>
  <si>
    <t>Ne sont pas pris en compte les étudiants dont le domaine n'est pas connu (max 30 par an)</t>
  </si>
  <si>
    <t>Source : CREf (www.cref.be)</t>
  </si>
  <si>
    <t>Domaine</t>
  </si>
  <si>
    <t>Sciences agronomiques et ingénieur bio</t>
  </si>
  <si>
    <t>Sciences de l'ingénieur et technologie</t>
  </si>
  <si>
    <t>2018-2019</t>
  </si>
  <si>
    <t>Source : MFWB</t>
  </si>
  <si>
    <t>Les données après 2017-2018 ne sont pas encore disponibles au cref</t>
  </si>
  <si>
    <t>2019-2020</t>
  </si>
  <si>
    <t>2020-2021</t>
  </si>
  <si>
    <t>X</t>
  </si>
  <si>
    <t>2021-2022</t>
  </si>
  <si>
    <t>Croissance sur 8 ans (2014-2015 = 100)</t>
  </si>
  <si>
    <t>Danse</t>
  </si>
  <si>
    <t>1er diplômes finaux soit : Bac en type court (HE et ESA), Master en type long (HE, ESA et Université)</t>
  </si>
  <si>
    <t>Sont comptés ici les diplômes délivrés. Un étudiant pouvant recevoir plusieurs diplômes la même année</t>
  </si>
  <si>
    <t>Double cohorte Sc.med</t>
  </si>
  <si>
    <t>2022-2023</t>
  </si>
  <si>
    <t>Sciences de l'éducation et enseignement (1)</t>
  </si>
  <si>
    <t xml:space="preserve">(1) Avant 2022-2023, classé dans un autre domaine </t>
  </si>
  <si>
    <t>Sciences psychologiques et de l'éducation (2)</t>
  </si>
  <si>
    <t>(2) domaine 10 (sciences psychologiques) et 10 bis (sciences de l'éducation et enseignement)</t>
  </si>
  <si>
    <t xml:space="preserve">Danse </t>
  </si>
  <si>
    <t>Diplômes :  2014-2015, 2015-2016, 2016-2017, 2017-2018, 2018-2019,2019-2020, 2020-2021, 2021-2022,2022-2023</t>
  </si>
  <si>
    <t>Population étudiante :  2014-2015, 2015-2016, 2016-2017, 2017-2018, 2018-2019, 2019-2020, 2020-2021, 2021-2022,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</si>
</sst>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darkUp">
        <bgColor theme="0" tint="-0.149937437055574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lightDown"/>
    </fill>
    <fill>
      <patternFill patternType="lightUp"/>
    </fill>
  </fills>
  <borders count="22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6" fillId="0" borderId="15" xfId="0" applyFont="1" applyBorder="1"/>
    <xf numFmtId="0" fontId="4" fillId="0" borderId="0" xfId="0" applyFont="1"/>
    <xf numFmtId="0" fontId="0" fillId="0" borderId="8" xfId="0" applyBorder="1"/>
    <xf numFmtId="0" fontId="0" fillId="0" borderId="21" xfId="0" applyBorder="1"/>
    <xf numFmtId="3" fontId="0" fillId="0" borderId="0" xfId="0" applyNumberFormat="1" applyBorder="1"/>
    <xf numFmtId="3" fontId="4" fillId="0" borderId="1" xfId="0" applyNumberFormat="1" applyFont="1" applyBorder="1"/>
    <xf numFmtId="3" fontId="0" fillId="0" borderId="2" xfId="0" applyNumberForma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0" fillId="0" borderId="17" xfId="0" applyNumberFormat="1" applyBorder="1"/>
    <xf numFmtId="3" fontId="4" fillId="0" borderId="19" xfId="0" applyNumberFormat="1" applyFont="1" applyBorder="1"/>
    <xf numFmtId="3" fontId="0" fillId="0" borderId="20" xfId="0" applyNumberFormat="1" applyBorder="1"/>
    <xf numFmtId="3" fontId="6" fillId="0" borderId="0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0" fillId="0" borderId="0" xfId="0" applyNumberFormat="1"/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0" fillId="0" borderId="4" xfId="0" applyNumberFormat="1" applyBorder="1"/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0" fillId="0" borderId="13" xfId="0" applyNumberFormat="1" applyBorder="1"/>
    <xf numFmtId="3" fontId="0" fillId="0" borderId="21" xfId="0" applyNumberFormat="1" applyBorder="1"/>
    <xf numFmtId="3" fontId="0" fillId="3" borderId="2" xfId="0" applyNumberFormat="1" applyFill="1" applyBorder="1"/>
    <xf numFmtId="3" fontId="0" fillId="3" borderId="0" xfId="0" applyNumberFormat="1" applyFill="1" applyBorder="1"/>
    <xf numFmtId="3" fontId="4" fillId="3" borderId="1" xfId="0" applyNumberFormat="1" applyFont="1" applyFill="1" applyBorder="1"/>
    <xf numFmtId="0" fontId="6" fillId="0" borderId="21" xfId="0" applyFont="1" applyBorder="1"/>
    <xf numFmtId="0" fontId="0" fillId="0" borderId="21" xfId="0" applyFont="1" applyBorder="1"/>
    <xf numFmtId="3" fontId="0" fillId="0" borderId="0" xfId="0" applyNumberFormat="1" applyFont="1" applyBorder="1"/>
    <xf numFmtId="3" fontId="0" fillId="0" borderId="2" xfId="0" applyNumberFormat="1" applyFont="1" applyBorder="1"/>
    <xf numFmtId="1" fontId="0" fillId="0" borderId="2" xfId="0" applyNumberFormat="1" applyBorder="1"/>
    <xf numFmtId="1" fontId="0" fillId="0" borderId="0" xfId="0" applyNumberFormat="1" applyBorder="1"/>
    <xf numFmtId="1" fontId="4" fillId="0" borderId="1" xfId="0" applyNumberFormat="1" applyFont="1" applyBorder="1"/>
    <xf numFmtId="1" fontId="6" fillId="0" borderId="12" xfId="0" applyNumberFormat="1" applyFont="1" applyBorder="1"/>
    <xf numFmtId="1" fontId="6" fillId="0" borderId="10" xfId="0" applyNumberFormat="1" applyFont="1" applyBorder="1"/>
    <xf numFmtId="1" fontId="6" fillId="0" borderId="11" xfId="0" applyNumberFormat="1" applyFont="1" applyBorder="1"/>
    <xf numFmtId="1" fontId="0" fillId="0" borderId="0" xfId="0" applyNumberFormat="1"/>
    <xf numFmtId="1" fontId="6" fillId="0" borderId="6" xfId="0" applyNumberFormat="1" applyFont="1" applyBorder="1"/>
    <xf numFmtId="1" fontId="6" fillId="0" borderId="4" xfId="0" applyNumberFormat="1" applyFont="1" applyBorder="1"/>
    <xf numFmtId="1" fontId="6" fillId="0" borderId="5" xfId="0" applyNumberFormat="1" applyFont="1" applyBorder="1"/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8" xfId="0" applyFont="1" applyFill="1" applyBorder="1"/>
    <xf numFmtId="3" fontId="8" fillId="0" borderId="20" xfId="0" applyNumberFormat="1" applyFont="1" applyFill="1" applyBorder="1"/>
    <xf numFmtId="3" fontId="8" fillId="0" borderId="17" xfId="0" applyNumberFormat="1" applyFont="1" applyFill="1" applyBorder="1"/>
    <xf numFmtId="3" fontId="9" fillId="0" borderId="19" xfId="0" applyNumberFormat="1" applyFont="1" applyFill="1" applyBorder="1"/>
    <xf numFmtId="0" fontId="8" fillId="0" borderId="0" xfId="0" applyFont="1" applyFill="1"/>
    <xf numFmtId="1" fontId="8" fillId="0" borderId="20" xfId="0" applyNumberFormat="1" applyFont="1" applyFill="1" applyBorder="1"/>
    <xf numFmtId="1" fontId="8" fillId="0" borderId="17" xfId="0" applyNumberFormat="1" applyFont="1" applyFill="1" applyBorder="1"/>
    <xf numFmtId="1" fontId="9" fillId="0" borderId="19" xfId="0" applyNumberFormat="1" applyFont="1" applyFill="1" applyBorder="1"/>
    <xf numFmtId="0" fontId="8" fillId="0" borderId="21" xfId="0" applyFont="1" applyFill="1" applyBorder="1"/>
    <xf numFmtId="3" fontId="8" fillId="0" borderId="2" xfId="0" applyNumberFormat="1" applyFont="1" applyFill="1" applyBorder="1"/>
    <xf numFmtId="3" fontId="8" fillId="0" borderId="0" xfId="0" applyNumberFormat="1" applyFont="1" applyFill="1" applyBorder="1"/>
    <xf numFmtId="3" fontId="9" fillId="0" borderId="1" xfId="0" applyNumberFormat="1" applyFont="1" applyFill="1" applyBorder="1"/>
    <xf numFmtId="1" fontId="8" fillId="0" borderId="2" xfId="0" applyNumberFormat="1" applyFont="1" applyFill="1" applyBorder="1"/>
    <xf numFmtId="1" fontId="8" fillId="0" borderId="0" xfId="0" applyNumberFormat="1" applyFont="1" applyFill="1" applyBorder="1"/>
    <xf numFmtId="1" fontId="9" fillId="0" borderId="1" xfId="0" applyNumberFormat="1" applyFont="1" applyFill="1" applyBorder="1"/>
    <xf numFmtId="0" fontId="10" fillId="0" borderId="15" xfId="0" applyFont="1" applyFill="1" applyBorder="1"/>
    <xf numFmtId="3" fontId="10" fillId="0" borderId="12" xfId="0" applyNumberFormat="1" applyFont="1" applyFill="1" applyBorder="1"/>
    <xf numFmtId="3" fontId="10" fillId="0" borderId="10" xfId="0" applyNumberFormat="1" applyFont="1" applyFill="1" applyBorder="1"/>
    <xf numFmtId="3" fontId="10" fillId="0" borderId="11" xfId="0" applyNumberFormat="1" applyFont="1" applyFill="1" applyBorder="1"/>
    <xf numFmtId="1" fontId="10" fillId="0" borderId="12" xfId="0" applyNumberFormat="1" applyFont="1" applyFill="1" applyBorder="1"/>
    <xf numFmtId="1" fontId="10" fillId="0" borderId="10" xfId="0" applyNumberFormat="1" applyFont="1" applyFill="1" applyBorder="1"/>
    <xf numFmtId="1" fontId="10" fillId="0" borderId="11" xfId="0" applyNumberFormat="1" applyFont="1" applyFill="1" applyBorder="1"/>
    <xf numFmtId="0" fontId="8" fillId="0" borderId="14" xfId="0" applyFont="1" applyFill="1" applyBorder="1"/>
    <xf numFmtId="0" fontId="10" fillId="0" borderId="14" xfId="0" applyFont="1" applyFill="1" applyBorder="1"/>
    <xf numFmtId="3" fontId="10" fillId="0" borderId="2" xfId="0" applyNumberFormat="1" applyFont="1" applyFill="1" applyBorder="1"/>
    <xf numFmtId="3" fontId="10" fillId="0" borderId="0" xfId="0" applyNumberFormat="1" applyFont="1" applyFill="1" applyBorder="1"/>
    <xf numFmtId="3" fontId="10" fillId="0" borderId="1" xfId="0" applyNumberFormat="1" applyFont="1" applyFill="1" applyBorder="1"/>
    <xf numFmtId="1" fontId="10" fillId="0" borderId="2" xfId="0" applyNumberFormat="1" applyFont="1" applyFill="1" applyBorder="1"/>
    <xf numFmtId="1" fontId="10" fillId="0" borderId="0" xfId="0" applyNumberFormat="1" applyFont="1" applyFill="1" applyBorder="1"/>
    <xf numFmtId="1" fontId="10" fillId="0" borderId="1" xfId="0" applyNumberFormat="1" applyFont="1" applyFill="1" applyBorder="1"/>
    <xf numFmtId="0" fontId="3" fillId="0" borderId="0" xfId="0" applyFont="1" applyFill="1"/>
    <xf numFmtId="0" fontId="0" fillId="0" borderId="0" xfId="0" applyFill="1"/>
    <xf numFmtId="3" fontId="4" fillId="5" borderId="6" xfId="0" applyNumberFormat="1" applyFont="1" applyFill="1" applyBorder="1"/>
    <xf numFmtId="3" fontId="4" fillId="5" borderId="4" xfId="0" applyNumberFormat="1" applyFont="1" applyFill="1" applyBorder="1"/>
    <xf numFmtId="3" fontId="4" fillId="5" borderId="5" xfId="0" applyNumberFormat="1" applyFont="1" applyFill="1" applyBorder="1"/>
    <xf numFmtId="1" fontId="4" fillId="5" borderId="6" xfId="0" applyNumberFormat="1" applyFont="1" applyFill="1" applyBorder="1"/>
    <xf numFmtId="1" fontId="4" fillId="5" borderId="4" xfId="0" applyNumberFormat="1" applyFont="1" applyFill="1" applyBorder="1"/>
    <xf numFmtId="1" fontId="4" fillId="5" borderId="5" xfId="0" applyNumberFormat="1" applyFont="1" applyFill="1" applyBorder="1"/>
    <xf numFmtId="3" fontId="4" fillId="4" borderId="6" xfId="0" applyNumberFormat="1" applyFont="1" applyFill="1" applyBorder="1"/>
    <xf numFmtId="3" fontId="4" fillId="4" borderId="4" xfId="0" applyNumberFormat="1" applyFont="1" applyFill="1" applyBorder="1"/>
    <xf numFmtId="3" fontId="4" fillId="4" borderId="5" xfId="0" applyNumberFormat="1" applyFont="1" applyFill="1" applyBorder="1"/>
    <xf numFmtId="1" fontId="4" fillId="4" borderId="6" xfId="0" applyNumberFormat="1" applyFont="1" applyFill="1" applyBorder="1"/>
    <xf numFmtId="1" fontId="4" fillId="4" borderId="4" xfId="0" applyNumberFormat="1" applyFont="1" applyFill="1" applyBorder="1"/>
    <xf numFmtId="1" fontId="4" fillId="4" borderId="5" xfId="0" applyNumberFormat="1" applyFont="1" applyFill="1" applyBorder="1"/>
    <xf numFmtId="3" fontId="4" fillId="7" borderId="12" xfId="0" applyNumberFormat="1" applyFont="1" applyFill="1" applyBorder="1"/>
    <xf numFmtId="3" fontId="4" fillId="7" borderId="10" xfId="0" applyNumberFormat="1" applyFont="1" applyFill="1" applyBorder="1"/>
    <xf numFmtId="3" fontId="4" fillId="7" borderId="11" xfId="0" applyNumberFormat="1" applyFont="1" applyFill="1" applyBorder="1"/>
    <xf numFmtId="3" fontId="4" fillId="9" borderId="12" xfId="0" applyNumberFormat="1" applyFont="1" applyFill="1" applyBorder="1"/>
    <xf numFmtId="3" fontId="4" fillId="9" borderId="10" xfId="0" applyNumberFormat="1" applyFont="1" applyFill="1" applyBorder="1"/>
    <xf numFmtId="3" fontId="4" fillId="9" borderId="11" xfId="0" applyNumberFormat="1" applyFont="1" applyFill="1" applyBorder="1"/>
    <xf numFmtId="10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20" xfId="0" applyNumberFormat="1" applyFont="1" applyBorder="1"/>
    <xf numFmtId="3" fontId="0" fillId="0" borderId="17" xfId="0" applyNumberFormat="1" applyFont="1" applyBorder="1"/>
    <xf numFmtId="3" fontId="8" fillId="11" borderId="2" xfId="0" applyNumberFormat="1" applyFont="1" applyFill="1" applyBorder="1"/>
    <xf numFmtId="3" fontId="8" fillId="11" borderId="0" xfId="0" applyNumberFormat="1" applyFont="1" applyFill="1" applyBorder="1"/>
    <xf numFmtId="3" fontId="9" fillId="11" borderId="1" xfId="0" applyNumberFormat="1" applyFont="1" applyFill="1" applyBorder="1"/>
    <xf numFmtId="3" fontId="4" fillId="9" borderId="6" xfId="0" applyNumberFormat="1" applyFont="1" applyFill="1" applyBorder="1"/>
    <xf numFmtId="3" fontId="4" fillId="9" borderId="4" xfId="0" applyNumberFormat="1" applyFont="1" applyFill="1" applyBorder="1"/>
    <xf numFmtId="3" fontId="4" fillId="9" borderId="5" xfId="0" applyNumberFormat="1" applyFont="1" applyFill="1" applyBorder="1"/>
    <xf numFmtId="3" fontId="8" fillId="12" borderId="2" xfId="0" applyNumberFormat="1" applyFont="1" applyFill="1" applyBorder="1"/>
    <xf numFmtId="3" fontId="8" fillId="12" borderId="0" xfId="0" applyNumberFormat="1" applyFont="1" applyFill="1" applyBorder="1"/>
    <xf numFmtId="3" fontId="9" fillId="12" borderId="1" xfId="0" applyNumberFormat="1" applyFont="1" applyFill="1" applyBorder="1"/>
    <xf numFmtId="3" fontId="0" fillId="12" borderId="2" xfId="0" applyNumberFormat="1" applyFill="1" applyBorder="1"/>
    <xf numFmtId="3" fontId="0" fillId="12" borderId="0" xfId="0" applyNumberFormat="1" applyFill="1" applyBorder="1"/>
    <xf numFmtId="3" fontId="4" fillId="12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/>
    </xf>
    <xf numFmtId="0" fontId="7" fillId="10" borderId="3" xfId="0" applyNumberFormat="1" applyFont="1" applyFill="1" applyBorder="1" applyAlignment="1">
      <alignment horizontal="center"/>
    </xf>
    <xf numFmtId="0" fontId="7" fillId="10" borderId="4" xfId="0" applyNumberFormat="1" applyFont="1" applyFill="1" applyBorder="1" applyAlignment="1">
      <alignment horizontal="center"/>
    </xf>
    <xf numFmtId="0" fontId="7" fillId="10" borderId="13" xfId="0" applyNumberFormat="1" applyFont="1" applyFill="1" applyBorder="1" applyAlignment="1">
      <alignment horizontal="center"/>
    </xf>
    <xf numFmtId="0" fontId="11" fillId="8" borderId="3" xfId="0" applyNumberFormat="1" applyFont="1" applyFill="1" applyBorder="1" applyAlignment="1">
      <alignment horizontal="center"/>
    </xf>
    <xf numFmtId="0" fontId="11" fillId="8" borderId="4" xfId="0" applyNumberFormat="1" applyFont="1" applyFill="1" applyBorder="1" applyAlignment="1">
      <alignment horizontal="center"/>
    </xf>
    <xf numFmtId="0" fontId="11" fillId="8" borderId="13" xfId="0" applyNumberFormat="1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J111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B2" sqref="AB2"/>
    </sheetView>
  </sheetViews>
  <sheetFormatPr baseColWidth="10" defaultRowHeight="15" x14ac:dyDescent="0.25"/>
  <cols>
    <col min="2" max="2" width="12.5703125" customWidth="1"/>
    <col min="3" max="3" width="41" customWidth="1"/>
    <col min="4" max="6" width="12.42578125" bestFit="1" customWidth="1"/>
    <col min="7" max="7" width="12.28515625" bestFit="1" customWidth="1"/>
    <col min="8" max="9" width="11.85546875" bestFit="1" customWidth="1"/>
    <col min="10" max="31" width="11.85546875" customWidth="1"/>
  </cols>
  <sheetData>
    <row r="1" spans="1:36" ht="18.75" x14ac:dyDescent="0.3">
      <c r="A1" s="1" t="s">
        <v>79</v>
      </c>
    </row>
    <row r="2" spans="1:36" ht="18.75" x14ac:dyDescent="0.3">
      <c r="A2" s="2" t="s">
        <v>2</v>
      </c>
    </row>
    <row r="3" spans="1:36" x14ac:dyDescent="0.25">
      <c r="A3" s="3" t="s">
        <v>3</v>
      </c>
    </row>
    <row r="6" spans="1:36" ht="15.75" thickBot="1" x14ac:dyDescent="0.3">
      <c r="D6" s="125" t="s">
        <v>15</v>
      </c>
      <c r="E6" s="126"/>
      <c r="F6" s="127"/>
      <c r="G6" s="125" t="s">
        <v>45</v>
      </c>
      <c r="H6" s="126"/>
      <c r="I6" s="127"/>
      <c r="J6" s="125" t="s">
        <v>51</v>
      </c>
      <c r="K6" s="126"/>
      <c r="L6" s="127"/>
      <c r="M6" s="125" t="s">
        <v>54</v>
      </c>
      <c r="N6" s="126"/>
      <c r="O6" s="127"/>
      <c r="P6" s="125" t="s">
        <v>60</v>
      </c>
      <c r="Q6" s="126"/>
      <c r="R6" s="127"/>
      <c r="S6" s="125" t="s">
        <v>63</v>
      </c>
      <c r="T6" s="126"/>
      <c r="U6" s="127"/>
      <c r="V6" s="125" t="s">
        <v>64</v>
      </c>
      <c r="W6" s="126"/>
      <c r="X6" s="126"/>
      <c r="Y6" s="127"/>
      <c r="Z6" s="125" t="s">
        <v>66</v>
      </c>
      <c r="AA6" s="126"/>
      <c r="AB6" s="127"/>
      <c r="AC6" s="125" t="s">
        <v>72</v>
      </c>
      <c r="AD6" s="126"/>
      <c r="AE6" s="126"/>
      <c r="AF6" s="127"/>
      <c r="AH6" s="125" t="s">
        <v>67</v>
      </c>
      <c r="AI6" s="126"/>
      <c r="AJ6" s="127"/>
    </row>
    <row r="7" spans="1:36" ht="15.75" thickBot="1" x14ac:dyDescent="0.3">
      <c r="A7" s="4"/>
      <c r="B7" s="5"/>
      <c r="C7" s="57" t="s">
        <v>57</v>
      </c>
      <c r="D7" s="8" t="s">
        <v>12</v>
      </c>
      <c r="E7" s="6" t="s">
        <v>13</v>
      </c>
      <c r="F7" s="7" t="s">
        <v>14</v>
      </c>
      <c r="G7" s="8" t="s">
        <v>12</v>
      </c>
      <c r="H7" s="6" t="s">
        <v>13</v>
      </c>
      <c r="I7" s="7" t="s">
        <v>14</v>
      </c>
      <c r="J7" s="8" t="s">
        <v>12</v>
      </c>
      <c r="K7" s="6" t="s">
        <v>13</v>
      </c>
      <c r="L7" s="7" t="s">
        <v>14</v>
      </c>
      <c r="M7" s="8" t="s">
        <v>12</v>
      </c>
      <c r="N7" s="6" t="s">
        <v>13</v>
      </c>
      <c r="O7" s="7" t="s">
        <v>14</v>
      </c>
      <c r="P7" s="8" t="s">
        <v>12</v>
      </c>
      <c r="Q7" s="6" t="s">
        <v>13</v>
      </c>
      <c r="R7" s="7" t="s">
        <v>14</v>
      </c>
      <c r="S7" s="8" t="s">
        <v>12</v>
      </c>
      <c r="T7" s="6" t="s">
        <v>13</v>
      </c>
      <c r="U7" s="7" t="s">
        <v>14</v>
      </c>
      <c r="V7" s="8" t="s">
        <v>12</v>
      </c>
      <c r="W7" s="6" t="s">
        <v>13</v>
      </c>
      <c r="X7" s="6" t="s">
        <v>65</v>
      </c>
      <c r="Y7" s="7" t="s">
        <v>14</v>
      </c>
      <c r="Z7" s="8" t="s">
        <v>12</v>
      </c>
      <c r="AA7" s="6" t="s">
        <v>13</v>
      </c>
      <c r="AB7" s="7" t="s">
        <v>14</v>
      </c>
      <c r="AC7" s="8" t="s">
        <v>12</v>
      </c>
      <c r="AD7" s="6" t="s">
        <v>13</v>
      </c>
      <c r="AE7" s="6" t="s">
        <v>65</v>
      </c>
      <c r="AF7" s="7" t="s">
        <v>14</v>
      </c>
      <c r="AH7" s="8" t="s">
        <v>12</v>
      </c>
      <c r="AI7" s="6" t="s">
        <v>13</v>
      </c>
      <c r="AJ7" s="7" t="s">
        <v>14</v>
      </c>
    </row>
    <row r="8" spans="1:36" ht="15.75" thickBot="1" x14ac:dyDescent="0.3">
      <c r="A8" s="154" t="s">
        <v>0</v>
      </c>
      <c r="B8" s="149" t="s">
        <v>1</v>
      </c>
      <c r="C8" s="10" t="s">
        <v>22</v>
      </c>
      <c r="D8" s="17">
        <v>858</v>
      </c>
      <c r="E8" s="15">
        <v>1150</v>
      </c>
      <c r="F8" s="16">
        <f>SUM(D8:E8)</f>
        <v>2008</v>
      </c>
      <c r="G8" s="17">
        <v>711</v>
      </c>
      <c r="H8" s="15">
        <v>1000</v>
      </c>
      <c r="I8" s="16">
        <f>SUM(G8:H8)</f>
        <v>1711</v>
      </c>
      <c r="J8" s="17">
        <v>707</v>
      </c>
      <c r="K8" s="15">
        <v>970</v>
      </c>
      <c r="L8" s="16">
        <f>SUM(J8:K8)</f>
        <v>1677</v>
      </c>
      <c r="M8" s="17">
        <v>648</v>
      </c>
      <c r="N8" s="15">
        <v>936</v>
      </c>
      <c r="O8" s="16">
        <f>SUM(M8:N8)</f>
        <v>1584</v>
      </c>
      <c r="P8" s="17">
        <v>611</v>
      </c>
      <c r="Q8" s="15">
        <v>938</v>
      </c>
      <c r="R8" s="16">
        <f>SUM(P8:Q8)</f>
        <v>1549</v>
      </c>
      <c r="S8" s="17">
        <v>660</v>
      </c>
      <c r="T8" s="15">
        <v>1000</v>
      </c>
      <c r="U8" s="16">
        <f>SUM(S8:T8)</f>
        <v>1660</v>
      </c>
      <c r="V8" s="17">
        <v>693</v>
      </c>
      <c r="W8" s="15">
        <v>1011</v>
      </c>
      <c r="X8" s="15"/>
      <c r="Y8" s="16">
        <f>SUM(V8:X8)</f>
        <v>1704</v>
      </c>
      <c r="Z8" s="17">
        <v>646</v>
      </c>
      <c r="AA8" s="15">
        <v>1023</v>
      </c>
      <c r="AB8" s="16">
        <f>SUM(Z8:AA8)</f>
        <v>1669</v>
      </c>
      <c r="AC8" s="17">
        <v>692</v>
      </c>
      <c r="AD8" s="15">
        <v>1029</v>
      </c>
      <c r="AE8" s="15"/>
      <c r="AF8" s="16">
        <f>SUM(AC8:AE8)</f>
        <v>1721</v>
      </c>
      <c r="AH8" s="46">
        <f>AC8/D8*100</f>
        <v>80.652680652680658</v>
      </c>
      <c r="AI8" s="47">
        <f>AD8/E8*100</f>
        <v>89.478260869565219</v>
      </c>
      <c r="AJ8" s="48">
        <f>AF8/F8*100</f>
        <v>85.707171314741032</v>
      </c>
    </row>
    <row r="9" spans="1:36" ht="15.75" thickBot="1" x14ac:dyDescent="0.3">
      <c r="A9" s="154"/>
      <c r="B9" s="149"/>
      <c r="C9" s="10" t="s">
        <v>23</v>
      </c>
      <c r="D9" s="17">
        <v>1150</v>
      </c>
      <c r="E9" s="15">
        <v>4208</v>
      </c>
      <c r="F9" s="16">
        <f t="shared" ref="F9:F13" si="0">SUM(D9:E9)</f>
        <v>5358</v>
      </c>
      <c r="G9" s="17">
        <v>1151</v>
      </c>
      <c r="H9" s="15">
        <v>4326</v>
      </c>
      <c r="I9" s="16">
        <f t="shared" ref="I9:I13" si="1">SUM(G9:H9)</f>
        <v>5477</v>
      </c>
      <c r="J9" s="17">
        <v>1089</v>
      </c>
      <c r="K9" s="15">
        <v>4349</v>
      </c>
      <c r="L9" s="16">
        <f t="shared" ref="L9:L13" si="2">SUM(J9:K9)</f>
        <v>5438</v>
      </c>
      <c r="M9" s="17">
        <v>1179</v>
      </c>
      <c r="N9" s="15">
        <v>4600</v>
      </c>
      <c r="O9" s="16">
        <f t="shared" ref="O9:O13" si="3">SUM(M9:N9)</f>
        <v>5779</v>
      </c>
      <c r="P9" s="17">
        <v>1157</v>
      </c>
      <c r="Q9" s="15">
        <v>4584</v>
      </c>
      <c r="R9" s="16">
        <f t="shared" ref="R9:R13" si="4">SUM(P9:Q9)</f>
        <v>5741</v>
      </c>
      <c r="S9" s="17">
        <v>1239</v>
      </c>
      <c r="T9" s="15">
        <v>4939</v>
      </c>
      <c r="U9" s="16">
        <f t="shared" ref="U9:U19" si="5">SUM(S9:T9)</f>
        <v>6178</v>
      </c>
      <c r="V9" s="17">
        <v>1176</v>
      </c>
      <c r="W9" s="15">
        <v>5091</v>
      </c>
      <c r="X9" s="15"/>
      <c r="Y9" s="16">
        <f t="shared" ref="Y9:Y19" si="6">SUM(V9:X9)</f>
        <v>6267</v>
      </c>
      <c r="Z9" s="17">
        <v>1167</v>
      </c>
      <c r="AA9" s="15">
        <v>5216</v>
      </c>
      <c r="AB9" s="16">
        <f t="shared" ref="AB9:AB19" si="7">SUM(Z9:AA9)</f>
        <v>6383</v>
      </c>
      <c r="AC9" s="17">
        <v>1111</v>
      </c>
      <c r="AD9" s="15">
        <v>4899</v>
      </c>
      <c r="AE9" s="15"/>
      <c r="AF9" s="16">
        <f t="shared" ref="AF9:AF44" si="8">SUM(AC9:AE9)</f>
        <v>6010</v>
      </c>
      <c r="AH9" s="46">
        <f t="shared" ref="AH9:AH44" si="9">AC9/D9*100</f>
        <v>96.608695652173921</v>
      </c>
      <c r="AI9" s="47">
        <f t="shared" ref="AI9:AI44" si="10">AD9/E9*100</f>
        <v>116.42110266159695</v>
      </c>
      <c r="AJ9" s="48">
        <f t="shared" ref="AJ9:AJ44" si="11">AF9/F9*100</f>
        <v>112.16871967151923</v>
      </c>
    </row>
    <row r="10" spans="1:36" ht="15.75" thickBot="1" x14ac:dyDescent="0.3">
      <c r="A10" s="154"/>
      <c r="B10" s="149"/>
      <c r="C10" s="10" t="s">
        <v>24</v>
      </c>
      <c r="D10" s="17">
        <v>781</v>
      </c>
      <c r="E10" s="15">
        <v>1176</v>
      </c>
      <c r="F10" s="16">
        <f t="shared" si="0"/>
        <v>1957</v>
      </c>
      <c r="G10" s="17">
        <v>747</v>
      </c>
      <c r="H10" s="15">
        <v>1131</v>
      </c>
      <c r="I10" s="16">
        <f t="shared" si="1"/>
        <v>1878</v>
      </c>
      <c r="J10" s="17">
        <v>652</v>
      </c>
      <c r="K10" s="15">
        <v>1113</v>
      </c>
      <c r="L10" s="16">
        <f t="shared" si="2"/>
        <v>1765</v>
      </c>
      <c r="M10" s="17">
        <v>708</v>
      </c>
      <c r="N10" s="15">
        <v>1304</v>
      </c>
      <c r="O10" s="16">
        <f t="shared" si="3"/>
        <v>2012</v>
      </c>
      <c r="P10" s="17">
        <v>701</v>
      </c>
      <c r="Q10" s="15">
        <v>1382</v>
      </c>
      <c r="R10" s="16">
        <f t="shared" si="4"/>
        <v>2083</v>
      </c>
      <c r="S10" s="17">
        <v>684</v>
      </c>
      <c r="T10" s="15">
        <v>1487</v>
      </c>
      <c r="U10" s="16">
        <f t="shared" si="5"/>
        <v>2171</v>
      </c>
      <c r="V10" s="17">
        <v>717</v>
      </c>
      <c r="W10" s="15">
        <v>1483</v>
      </c>
      <c r="X10" s="15"/>
      <c r="Y10" s="16">
        <f t="shared" si="6"/>
        <v>2200</v>
      </c>
      <c r="Z10" s="17">
        <v>720</v>
      </c>
      <c r="AA10" s="15">
        <v>1526</v>
      </c>
      <c r="AB10" s="16">
        <f t="shared" si="7"/>
        <v>2246</v>
      </c>
      <c r="AC10" s="17">
        <v>673</v>
      </c>
      <c r="AD10" s="15">
        <v>1612</v>
      </c>
      <c r="AE10" s="15"/>
      <c r="AF10" s="16">
        <f t="shared" si="8"/>
        <v>2285</v>
      </c>
      <c r="AH10" s="46">
        <f t="shared" si="9"/>
        <v>86.171574903969272</v>
      </c>
      <c r="AI10" s="47">
        <f t="shared" si="10"/>
        <v>137.0748299319728</v>
      </c>
      <c r="AJ10" s="48">
        <f t="shared" si="11"/>
        <v>116.7603474706183</v>
      </c>
    </row>
    <row r="11" spans="1:36" ht="15.75" thickBot="1" x14ac:dyDescent="0.3">
      <c r="A11" s="154"/>
      <c r="B11" s="149"/>
      <c r="C11" s="10" t="s">
        <v>26</v>
      </c>
      <c r="D11" s="17">
        <v>6735</v>
      </c>
      <c r="E11" s="15">
        <v>7125</v>
      </c>
      <c r="F11" s="16">
        <f t="shared" si="0"/>
        <v>13860</v>
      </c>
      <c r="G11" s="17">
        <v>7077</v>
      </c>
      <c r="H11" s="15">
        <v>7343</v>
      </c>
      <c r="I11" s="16">
        <f t="shared" si="1"/>
        <v>14420</v>
      </c>
      <c r="J11" s="17">
        <v>7197</v>
      </c>
      <c r="K11" s="15">
        <v>7468</v>
      </c>
      <c r="L11" s="16">
        <f t="shared" si="2"/>
        <v>14665</v>
      </c>
      <c r="M11" s="17">
        <v>7571</v>
      </c>
      <c r="N11" s="15">
        <v>7792</v>
      </c>
      <c r="O11" s="16">
        <f t="shared" si="3"/>
        <v>15363</v>
      </c>
      <c r="P11" s="17">
        <v>7779</v>
      </c>
      <c r="Q11" s="15">
        <v>7987</v>
      </c>
      <c r="R11" s="16">
        <f t="shared" si="4"/>
        <v>15766</v>
      </c>
      <c r="S11" s="17">
        <v>7833</v>
      </c>
      <c r="T11" s="15">
        <v>8172</v>
      </c>
      <c r="U11" s="16">
        <f t="shared" si="5"/>
        <v>16005</v>
      </c>
      <c r="V11" s="17">
        <v>8134</v>
      </c>
      <c r="W11" s="15">
        <v>8125</v>
      </c>
      <c r="X11" s="15"/>
      <c r="Y11" s="16">
        <f t="shared" si="6"/>
        <v>16259</v>
      </c>
      <c r="Z11" s="17">
        <v>8429</v>
      </c>
      <c r="AA11" s="15">
        <v>8225</v>
      </c>
      <c r="AB11" s="16">
        <f t="shared" si="7"/>
        <v>16654</v>
      </c>
      <c r="AC11" s="17">
        <v>8463</v>
      </c>
      <c r="AD11" s="15">
        <v>8226</v>
      </c>
      <c r="AE11" s="15"/>
      <c r="AF11" s="16">
        <f t="shared" si="8"/>
        <v>16689</v>
      </c>
      <c r="AH11" s="46">
        <f t="shared" si="9"/>
        <v>125.65701559020044</v>
      </c>
      <c r="AI11" s="47">
        <f t="shared" si="10"/>
        <v>115.45263157894736</v>
      </c>
      <c r="AJ11" s="48">
        <f t="shared" si="11"/>
        <v>120.41125541125541</v>
      </c>
    </row>
    <row r="12" spans="1:36" ht="15.75" thickBot="1" x14ac:dyDescent="0.3">
      <c r="A12" s="154"/>
      <c r="B12" s="149"/>
      <c r="C12" s="10" t="s">
        <v>75</v>
      </c>
      <c r="D12" s="17">
        <v>5899</v>
      </c>
      <c r="E12" s="15">
        <v>16417</v>
      </c>
      <c r="F12" s="16">
        <f t="shared" si="0"/>
        <v>22316</v>
      </c>
      <c r="G12" s="17">
        <v>6110</v>
      </c>
      <c r="H12" s="15">
        <v>16372</v>
      </c>
      <c r="I12" s="16">
        <f t="shared" si="1"/>
        <v>22482</v>
      </c>
      <c r="J12" s="17">
        <v>6444</v>
      </c>
      <c r="K12" s="15">
        <v>16192</v>
      </c>
      <c r="L12" s="16">
        <f t="shared" si="2"/>
        <v>22636</v>
      </c>
      <c r="M12" s="17">
        <v>6674</v>
      </c>
      <c r="N12" s="15">
        <v>16215</v>
      </c>
      <c r="O12" s="16">
        <f t="shared" si="3"/>
        <v>22889</v>
      </c>
      <c r="P12" s="17">
        <v>6617</v>
      </c>
      <c r="Q12" s="15">
        <v>16261</v>
      </c>
      <c r="R12" s="16">
        <f t="shared" si="4"/>
        <v>22878</v>
      </c>
      <c r="S12" s="17">
        <f>6585+3</f>
        <v>6588</v>
      </c>
      <c r="T12" s="15">
        <f>15992+20</f>
        <v>16012</v>
      </c>
      <c r="U12" s="16">
        <f t="shared" si="5"/>
        <v>22600</v>
      </c>
      <c r="V12" s="17">
        <v>6656</v>
      </c>
      <c r="W12" s="15">
        <v>15604</v>
      </c>
      <c r="X12" s="15"/>
      <c r="Y12" s="16">
        <f t="shared" si="6"/>
        <v>22260</v>
      </c>
      <c r="Z12" s="17">
        <v>6959</v>
      </c>
      <c r="AA12" s="15">
        <v>15661</v>
      </c>
      <c r="AB12" s="16">
        <f t="shared" si="7"/>
        <v>22620</v>
      </c>
      <c r="AC12" s="17">
        <v>6562</v>
      </c>
      <c r="AD12" s="15">
        <v>14709</v>
      </c>
      <c r="AE12" s="15"/>
      <c r="AF12" s="16">
        <f t="shared" si="8"/>
        <v>21271</v>
      </c>
      <c r="AH12" s="46">
        <f t="shared" si="9"/>
        <v>111.23919308357348</v>
      </c>
      <c r="AI12" s="47">
        <f t="shared" si="10"/>
        <v>89.59615033197295</v>
      </c>
      <c r="AJ12" s="48">
        <f t="shared" si="11"/>
        <v>95.317261157913606</v>
      </c>
    </row>
    <row r="13" spans="1:36" ht="15.75" thickBot="1" x14ac:dyDescent="0.3">
      <c r="A13" s="154"/>
      <c r="B13" s="149"/>
      <c r="C13" s="10" t="s">
        <v>34</v>
      </c>
      <c r="D13" s="17">
        <v>529</v>
      </c>
      <c r="E13" s="15">
        <v>1315</v>
      </c>
      <c r="F13" s="16">
        <f t="shared" si="0"/>
        <v>1844</v>
      </c>
      <c r="G13" s="17">
        <v>552</v>
      </c>
      <c r="H13" s="15">
        <v>1356</v>
      </c>
      <c r="I13" s="16">
        <f t="shared" si="1"/>
        <v>1908</v>
      </c>
      <c r="J13" s="17">
        <v>571</v>
      </c>
      <c r="K13" s="15">
        <v>1419</v>
      </c>
      <c r="L13" s="16">
        <f t="shared" si="2"/>
        <v>1990</v>
      </c>
      <c r="M13" s="17">
        <v>588</v>
      </c>
      <c r="N13" s="15">
        <v>1462</v>
      </c>
      <c r="O13" s="16">
        <f t="shared" si="3"/>
        <v>2050</v>
      </c>
      <c r="P13" s="17">
        <v>579</v>
      </c>
      <c r="Q13" s="15">
        <v>1410</v>
      </c>
      <c r="R13" s="16">
        <f t="shared" si="4"/>
        <v>1989</v>
      </c>
      <c r="S13" s="17">
        <v>527</v>
      </c>
      <c r="T13" s="15">
        <v>1447</v>
      </c>
      <c r="U13" s="16">
        <f t="shared" si="5"/>
        <v>1974</v>
      </c>
      <c r="V13" s="17">
        <v>513</v>
      </c>
      <c r="W13" s="15">
        <v>1459</v>
      </c>
      <c r="X13" s="15"/>
      <c r="Y13" s="16">
        <f t="shared" si="6"/>
        <v>1972</v>
      </c>
      <c r="Z13" s="17">
        <v>500</v>
      </c>
      <c r="AA13" s="15">
        <v>1472</v>
      </c>
      <c r="AB13" s="16">
        <f t="shared" si="7"/>
        <v>1972</v>
      </c>
      <c r="AC13" s="17">
        <v>511</v>
      </c>
      <c r="AD13" s="15">
        <v>1436</v>
      </c>
      <c r="AE13" s="15"/>
      <c r="AF13" s="16">
        <f t="shared" si="8"/>
        <v>1947</v>
      </c>
      <c r="AH13" s="46">
        <f t="shared" si="9"/>
        <v>96.597353497164463</v>
      </c>
      <c r="AI13" s="47">
        <f t="shared" si="10"/>
        <v>109.20152091254754</v>
      </c>
      <c r="AJ13" s="48">
        <f t="shared" si="11"/>
        <v>105.58568329718003</v>
      </c>
    </row>
    <row r="14" spans="1:36" ht="15.75" thickBot="1" x14ac:dyDescent="0.3">
      <c r="A14" s="154"/>
      <c r="B14" s="149"/>
      <c r="C14" s="10" t="s">
        <v>31</v>
      </c>
      <c r="D14" s="17">
        <v>1937</v>
      </c>
      <c r="E14" s="15">
        <v>9189</v>
      </c>
      <c r="F14" s="16">
        <f t="shared" ref="F14:F19" si="12">SUM(D14:E14)</f>
        <v>11126</v>
      </c>
      <c r="G14" s="17">
        <v>2048</v>
      </c>
      <c r="H14" s="15">
        <v>9645</v>
      </c>
      <c r="I14" s="16">
        <f t="shared" ref="I14:I19" si="13">SUM(G14:H14)</f>
        <v>11693</v>
      </c>
      <c r="J14" s="17">
        <v>2022</v>
      </c>
      <c r="K14" s="15">
        <v>9622</v>
      </c>
      <c r="L14" s="16">
        <f t="shared" ref="L14:L19" si="14">SUM(J14:K14)</f>
        <v>11644</v>
      </c>
      <c r="M14" s="17">
        <v>1907</v>
      </c>
      <c r="N14" s="15">
        <v>9326</v>
      </c>
      <c r="O14" s="16">
        <f t="shared" ref="O14:O19" si="15">SUM(M14:N14)</f>
        <v>11233</v>
      </c>
      <c r="P14" s="17">
        <v>1729</v>
      </c>
      <c r="Q14" s="15">
        <v>8789</v>
      </c>
      <c r="R14" s="16">
        <f t="shared" ref="R14:R19" si="16">SUM(P14:Q14)</f>
        <v>10518</v>
      </c>
      <c r="S14" s="17">
        <f>1634+6</f>
        <v>1640</v>
      </c>
      <c r="T14" s="15">
        <f>8512+29</f>
        <v>8541</v>
      </c>
      <c r="U14" s="16">
        <f t="shared" si="5"/>
        <v>10181</v>
      </c>
      <c r="V14" s="17">
        <v>1799</v>
      </c>
      <c r="W14" s="15">
        <v>9372</v>
      </c>
      <c r="X14" s="15"/>
      <c r="Y14" s="16">
        <f t="shared" si="6"/>
        <v>11171</v>
      </c>
      <c r="Z14" s="17">
        <v>1851</v>
      </c>
      <c r="AA14" s="15">
        <v>9691</v>
      </c>
      <c r="AB14" s="16">
        <f t="shared" si="7"/>
        <v>11542</v>
      </c>
      <c r="AC14" s="17">
        <v>1678</v>
      </c>
      <c r="AD14" s="15">
        <v>8991</v>
      </c>
      <c r="AE14" s="15"/>
      <c r="AF14" s="16">
        <f t="shared" si="8"/>
        <v>10669</v>
      </c>
      <c r="AH14" s="46">
        <f t="shared" si="9"/>
        <v>86.628807434176565</v>
      </c>
      <c r="AI14" s="47">
        <f t="shared" si="10"/>
        <v>97.845249755142021</v>
      </c>
      <c r="AJ14" s="48">
        <f t="shared" si="11"/>
        <v>95.892504044580264</v>
      </c>
    </row>
    <row r="15" spans="1:36" ht="15.75" thickBot="1" x14ac:dyDescent="0.3">
      <c r="A15" s="154"/>
      <c r="B15" s="149"/>
      <c r="C15" s="10" t="s">
        <v>35</v>
      </c>
      <c r="D15" s="17">
        <v>482</v>
      </c>
      <c r="E15" s="15">
        <v>2062</v>
      </c>
      <c r="F15" s="16">
        <f t="shared" si="12"/>
        <v>2544</v>
      </c>
      <c r="G15" s="17">
        <v>507</v>
      </c>
      <c r="H15" s="15">
        <v>2221</v>
      </c>
      <c r="I15" s="16">
        <f t="shared" si="13"/>
        <v>2728</v>
      </c>
      <c r="J15" s="17">
        <v>481</v>
      </c>
      <c r="K15" s="15">
        <v>2058</v>
      </c>
      <c r="L15" s="16">
        <f t="shared" si="14"/>
        <v>2539</v>
      </c>
      <c r="M15" s="17">
        <v>475</v>
      </c>
      <c r="N15" s="15">
        <v>1959</v>
      </c>
      <c r="O15" s="16">
        <f t="shared" si="15"/>
        <v>2434</v>
      </c>
      <c r="P15" s="17">
        <v>462</v>
      </c>
      <c r="Q15" s="15">
        <v>1870</v>
      </c>
      <c r="R15" s="16">
        <f t="shared" si="16"/>
        <v>2332</v>
      </c>
      <c r="S15" s="17">
        <v>435</v>
      </c>
      <c r="T15" s="15">
        <v>1815</v>
      </c>
      <c r="U15" s="16">
        <f t="shared" si="5"/>
        <v>2250</v>
      </c>
      <c r="V15" s="17">
        <v>410</v>
      </c>
      <c r="W15" s="15">
        <v>1650</v>
      </c>
      <c r="X15" s="15"/>
      <c r="Y15" s="16">
        <f t="shared" si="6"/>
        <v>2060</v>
      </c>
      <c r="Z15" s="17">
        <v>451</v>
      </c>
      <c r="AA15" s="15">
        <v>1713</v>
      </c>
      <c r="AB15" s="16">
        <f t="shared" si="7"/>
        <v>2164</v>
      </c>
      <c r="AC15" s="17">
        <v>435</v>
      </c>
      <c r="AD15" s="15">
        <v>1607</v>
      </c>
      <c r="AE15" s="15">
        <v>1</v>
      </c>
      <c r="AF15" s="16">
        <f t="shared" si="8"/>
        <v>2043</v>
      </c>
      <c r="AH15" s="46">
        <f t="shared" si="9"/>
        <v>90.248962655601659</v>
      </c>
      <c r="AI15" s="47">
        <f t="shared" si="10"/>
        <v>77.934044616876818</v>
      </c>
      <c r="AJ15" s="48">
        <f t="shared" si="11"/>
        <v>80.306603773584911</v>
      </c>
    </row>
    <row r="16" spans="1:36" ht="15.75" thickBot="1" x14ac:dyDescent="0.3">
      <c r="A16" s="154"/>
      <c r="B16" s="149"/>
      <c r="C16" s="10" t="s">
        <v>28</v>
      </c>
      <c r="D16" s="17">
        <v>3351</v>
      </c>
      <c r="E16" s="15">
        <v>184</v>
      </c>
      <c r="F16" s="16">
        <f t="shared" si="12"/>
        <v>3535</v>
      </c>
      <c r="G16" s="17">
        <v>3587</v>
      </c>
      <c r="H16" s="15">
        <v>221</v>
      </c>
      <c r="I16" s="16">
        <f t="shared" si="13"/>
        <v>3808</v>
      </c>
      <c r="J16" s="17">
        <v>3601</v>
      </c>
      <c r="K16" s="15">
        <v>198</v>
      </c>
      <c r="L16" s="16">
        <f t="shared" si="14"/>
        <v>3799</v>
      </c>
      <c r="M16" s="17">
        <v>3891</v>
      </c>
      <c r="N16" s="15">
        <v>233</v>
      </c>
      <c r="O16" s="16">
        <f t="shared" si="15"/>
        <v>4124</v>
      </c>
      <c r="P16" s="17">
        <v>4049</v>
      </c>
      <c r="Q16" s="15">
        <v>280</v>
      </c>
      <c r="R16" s="16">
        <f t="shared" si="16"/>
        <v>4329</v>
      </c>
      <c r="S16" s="17">
        <v>4236</v>
      </c>
      <c r="T16" s="15">
        <v>319</v>
      </c>
      <c r="U16" s="16">
        <f t="shared" si="5"/>
        <v>4555</v>
      </c>
      <c r="V16" s="17">
        <v>4025</v>
      </c>
      <c r="W16" s="15">
        <v>318</v>
      </c>
      <c r="X16" s="15"/>
      <c r="Y16" s="16">
        <f t="shared" si="6"/>
        <v>4343</v>
      </c>
      <c r="Z16" s="17">
        <v>4221</v>
      </c>
      <c r="AA16" s="15">
        <v>351</v>
      </c>
      <c r="AB16" s="16">
        <f t="shared" si="7"/>
        <v>4572</v>
      </c>
      <c r="AC16" s="17">
        <v>4378</v>
      </c>
      <c r="AD16" s="15">
        <v>430</v>
      </c>
      <c r="AE16" s="15"/>
      <c r="AF16" s="16">
        <f t="shared" si="8"/>
        <v>4808</v>
      </c>
      <c r="AH16" s="46">
        <f t="shared" si="9"/>
        <v>130.64756789018205</v>
      </c>
      <c r="AI16" s="47">
        <f t="shared" si="10"/>
        <v>233.69565217391303</v>
      </c>
      <c r="AJ16" s="48">
        <f t="shared" si="11"/>
        <v>136.01131541725601</v>
      </c>
    </row>
    <row r="17" spans="1:36" ht="15.75" thickBot="1" x14ac:dyDescent="0.3">
      <c r="A17" s="154"/>
      <c r="B17" s="149"/>
      <c r="C17" s="10" t="s">
        <v>58</v>
      </c>
      <c r="D17" s="17">
        <v>950</v>
      </c>
      <c r="E17" s="15">
        <v>551</v>
      </c>
      <c r="F17" s="16">
        <f t="shared" si="12"/>
        <v>1501</v>
      </c>
      <c r="G17" s="17">
        <v>946</v>
      </c>
      <c r="H17" s="15">
        <v>619</v>
      </c>
      <c r="I17" s="16">
        <f t="shared" si="13"/>
        <v>1565</v>
      </c>
      <c r="J17" s="17">
        <v>991</v>
      </c>
      <c r="K17" s="15">
        <v>694</v>
      </c>
      <c r="L17" s="16">
        <f t="shared" si="14"/>
        <v>1685</v>
      </c>
      <c r="M17" s="17">
        <v>979</v>
      </c>
      <c r="N17" s="15">
        <v>721</v>
      </c>
      <c r="O17" s="16">
        <f t="shared" si="15"/>
        <v>1700</v>
      </c>
      <c r="P17" s="17">
        <v>922</v>
      </c>
      <c r="Q17" s="15">
        <v>719</v>
      </c>
      <c r="R17" s="16">
        <f t="shared" si="16"/>
        <v>1641</v>
      </c>
      <c r="S17" s="17">
        <v>885</v>
      </c>
      <c r="T17" s="15">
        <v>714</v>
      </c>
      <c r="U17" s="16">
        <f t="shared" si="5"/>
        <v>1599</v>
      </c>
      <c r="V17" s="17">
        <v>914</v>
      </c>
      <c r="W17" s="15">
        <v>746</v>
      </c>
      <c r="X17" s="15">
        <v>1</v>
      </c>
      <c r="Y17" s="16">
        <f t="shared" si="6"/>
        <v>1661</v>
      </c>
      <c r="Z17" s="17">
        <v>924</v>
      </c>
      <c r="AA17" s="15">
        <v>811</v>
      </c>
      <c r="AB17" s="16">
        <f t="shared" si="7"/>
        <v>1735</v>
      </c>
      <c r="AC17" s="17">
        <v>866</v>
      </c>
      <c r="AD17" s="15">
        <v>781</v>
      </c>
      <c r="AE17" s="15"/>
      <c r="AF17" s="16">
        <f t="shared" si="8"/>
        <v>1647</v>
      </c>
      <c r="AH17" s="46">
        <f t="shared" si="9"/>
        <v>91.15789473684211</v>
      </c>
      <c r="AI17" s="47">
        <f t="shared" si="10"/>
        <v>141.74228675136115</v>
      </c>
      <c r="AJ17" s="48">
        <f t="shared" si="11"/>
        <v>109.72684876748835</v>
      </c>
    </row>
    <row r="18" spans="1:36" ht="15.75" thickBot="1" x14ac:dyDescent="0.3">
      <c r="A18" s="154"/>
      <c r="B18" s="149"/>
      <c r="C18" s="10" t="s">
        <v>59</v>
      </c>
      <c r="D18" s="17">
        <v>4859</v>
      </c>
      <c r="E18" s="15">
        <v>1113</v>
      </c>
      <c r="F18" s="16">
        <f t="shared" si="12"/>
        <v>5972</v>
      </c>
      <c r="G18" s="17">
        <v>4937</v>
      </c>
      <c r="H18" s="15">
        <v>1188</v>
      </c>
      <c r="I18" s="16">
        <f t="shared" si="13"/>
        <v>6125</v>
      </c>
      <c r="J18" s="17">
        <v>4990</v>
      </c>
      <c r="K18" s="15">
        <v>1259</v>
      </c>
      <c r="L18" s="16">
        <f t="shared" si="14"/>
        <v>6249</v>
      </c>
      <c r="M18" s="17">
        <v>5099</v>
      </c>
      <c r="N18" s="15">
        <v>1368</v>
      </c>
      <c r="O18" s="16">
        <f t="shared" si="15"/>
        <v>6467</v>
      </c>
      <c r="P18" s="17">
        <v>5079</v>
      </c>
      <c r="Q18" s="15">
        <v>1422</v>
      </c>
      <c r="R18" s="16">
        <f t="shared" si="16"/>
        <v>6501</v>
      </c>
      <c r="S18" s="17">
        <v>4935</v>
      </c>
      <c r="T18" s="15">
        <v>1439</v>
      </c>
      <c r="U18" s="16">
        <f t="shared" si="5"/>
        <v>6374</v>
      </c>
      <c r="V18" s="17">
        <v>5396</v>
      </c>
      <c r="W18" s="15">
        <v>1513</v>
      </c>
      <c r="X18" s="15">
        <v>1</v>
      </c>
      <c r="Y18" s="16">
        <f t="shared" si="6"/>
        <v>6910</v>
      </c>
      <c r="Z18" s="17">
        <v>5665</v>
      </c>
      <c r="AA18" s="15">
        <v>1663</v>
      </c>
      <c r="AB18" s="16">
        <f t="shared" si="7"/>
        <v>7328</v>
      </c>
      <c r="AC18" s="17">
        <v>5384</v>
      </c>
      <c r="AD18" s="15">
        <v>1726</v>
      </c>
      <c r="AE18" s="15"/>
      <c r="AF18" s="16">
        <f t="shared" si="8"/>
        <v>7110</v>
      </c>
      <c r="AH18" s="46">
        <f t="shared" si="9"/>
        <v>110.80469232352337</v>
      </c>
      <c r="AI18" s="47">
        <f t="shared" si="10"/>
        <v>155.07637017070979</v>
      </c>
      <c r="AJ18" s="48">
        <f t="shared" si="11"/>
        <v>119.05559276624247</v>
      </c>
    </row>
    <row r="19" spans="1:36" ht="15.75" thickBot="1" x14ac:dyDescent="0.3">
      <c r="A19" s="154"/>
      <c r="B19" s="149"/>
      <c r="C19" s="10" t="s">
        <v>10</v>
      </c>
      <c r="D19" s="17">
        <v>172</v>
      </c>
      <c r="E19" s="15">
        <v>490</v>
      </c>
      <c r="F19" s="16">
        <f t="shared" si="12"/>
        <v>662</v>
      </c>
      <c r="G19" s="17">
        <v>191</v>
      </c>
      <c r="H19" s="15">
        <v>469</v>
      </c>
      <c r="I19" s="16">
        <f t="shared" si="13"/>
        <v>660</v>
      </c>
      <c r="J19" s="17">
        <v>188</v>
      </c>
      <c r="K19" s="15">
        <v>458</v>
      </c>
      <c r="L19" s="16">
        <f t="shared" si="14"/>
        <v>646</v>
      </c>
      <c r="M19" s="17">
        <v>212</v>
      </c>
      <c r="N19" s="15">
        <v>464</v>
      </c>
      <c r="O19" s="16">
        <f t="shared" si="15"/>
        <v>676</v>
      </c>
      <c r="P19" s="17">
        <v>272</v>
      </c>
      <c r="Q19" s="15">
        <v>526</v>
      </c>
      <c r="R19" s="16">
        <f t="shared" si="16"/>
        <v>798</v>
      </c>
      <c r="S19" s="17">
        <v>327</v>
      </c>
      <c r="T19" s="15">
        <v>516</v>
      </c>
      <c r="U19" s="16">
        <f t="shared" si="5"/>
        <v>843</v>
      </c>
      <c r="V19" s="17">
        <v>356</v>
      </c>
      <c r="W19" s="15">
        <v>578</v>
      </c>
      <c r="X19" s="15"/>
      <c r="Y19" s="16">
        <f t="shared" si="6"/>
        <v>934</v>
      </c>
      <c r="Z19" s="17">
        <v>416</v>
      </c>
      <c r="AA19" s="15">
        <v>567</v>
      </c>
      <c r="AB19" s="16">
        <f t="shared" si="7"/>
        <v>983</v>
      </c>
      <c r="AC19" s="17">
        <v>443</v>
      </c>
      <c r="AD19" s="15">
        <v>579</v>
      </c>
      <c r="AE19" s="15"/>
      <c r="AF19" s="16">
        <f t="shared" si="8"/>
        <v>1022</v>
      </c>
      <c r="AH19" s="46">
        <f t="shared" si="9"/>
        <v>257.55813953488371</v>
      </c>
      <c r="AI19" s="47">
        <f t="shared" si="10"/>
        <v>118.16326530612244</v>
      </c>
      <c r="AJ19" s="48">
        <f t="shared" si="11"/>
        <v>154.38066465256796</v>
      </c>
    </row>
    <row r="20" spans="1:36" ht="15.75" thickBot="1" x14ac:dyDescent="0.3">
      <c r="A20" s="154"/>
      <c r="B20" s="149"/>
      <c r="C20" s="11" t="s">
        <v>5</v>
      </c>
      <c r="D20" s="20">
        <f>SUM(D8:D19)</f>
        <v>27703</v>
      </c>
      <c r="E20" s="18">
        <f>SUM(E8:E19)</f>
        <v>44980</v>
      </c>
      <c r="F20" s="19">
        <f>SUM(F8:F19)</f>
        <v>72683</v>
      </c>
      <c r="G20" s="20">
        <f t="shared" ref="G20:I20" si="17">SUM(G8:G19)</f>
        <v>28564</v>
      </c>
      <c r="H20" s="18">
        <f t="shared" si="17"/>
        <v>45891</v>
      </c>
      <c r="I20" s="19">
        <f t="shared" si="17"/>
        <v>74455</v>
      </c>
      <c r="J20" s="20">
        <f t="shared" ref="J20:L20" si="18">SUM(J8:J19)</f>
        <v>28933</v>
      </c>
      <c r="K20" s="18">
        <f t="shared" si="18"/>
        <v>45800</v>
      </c>
      <c r="L20" s="19">
        <f t="shared" si="18"/>
        <v>74733</v>
      </c>
      <c r="M20" s="20">
        <f t="shared" ref="M20:O20" si="19">SUM(M8:M19)</f>
        <v>29931</v>
      </c>
      <c r="N20" s="18">
        <f t="shared" si="19"/>
        <v>46380</v>
      </c>
      <c r="O20" s="19">
        <f t="shared" si="19"/>
        <v>76311</v>
      </c>
      <c r="P20" s="20">
        <f t="shared" ref="P20:R20" si="20">SUM(P8:P19)</f>
        <v>29957</v>
      </c>
      <c r="Q20" s="18">
        <f t="shared" si="20"/>
        <v>46168</v>
      </c>
      <c r="R20" s="19">
        <f t="shared" si="20"/>
        <v>76125</v>
      </c>
      <c r="S20" s="20">
        <f t="shared" ref="S20:U20" si="21">SUM(S8:S19)</f>
        <v>29989</v>
      </c>
      <c r="T20" s="18">
        <f t="shared" si="21"/>
        <v>46401</v>
      </c>
      <c r="U20" s="19">
        <f t="shared" si="21"/>
        <v>76390</v>
      </c>
      <c r="V20" s="20">
        <f t="shared" ref="V20:X20" si="22">SUM(V8:V19)</f>
        <v>30789</v>
      </c>
      <c r="W20" s="18">
        <f t="shared" si="22"/>
        <v>46950</v>
      </c>
      <c r="X20" s="18">
        <f t="shared" si="22"/>
        <v>2</v>
      </c>
      <c r="Y20" s="19">
        <f>SUM(V20:X20)</f>
        <v>77741</v>
      </c>
      <c r="Z20" s="20">
        <f t="shared" ref="Z20:AB20" si="23">SUM(Z8:Z19)</f>
        <v>31949</v>
      </c>
      <c r="AA20" s="18">
        <f t="shared" si="23"/>
        <v>47919</v>
      </c>
      <c r="AB20" s="19">
        <f t="shared" si="23"/>
        <v>79868</v>
      </c>
      <c r="AC20" s="20">
        <f t="shared" ref="AC20:AE20" si="24">SUM(AC8:AC19)</f>
        <v>31196</v>
      </c>
      <c r="AD20" s="18">
        <f t="shared" si="24"/>
        <v>46025</v>
      </c>
      <c r="AE20" s="18">
        <f t="shared" si="24"/>
        <v>1</v>
      </c>
      <c r="AF20" s="19">
        <f>SUM(AC20:AE20)</f>
        <v>77222</v>
      </c>
      <c r="AH20" s="49">
        <f t="shared" si="9"/>
        <v>112.60874273544381</v>
      </c>
      <c r="AI20" s="50">
        <f t="shared" si="10"/>
        <v>102.32325477990219</v>
      </c>
      <c r="AJ20" s="51">
        <f t="shared" si="11"/>
        <v>106.24492659906718</v>
      </c>
    </row>
    <row r="21" spans="1:36" ht="15.75" thickBot="1" x14ac:dyDescent="0.3">
      <c r="A21" s="154"/>
      <c r="B21" s="150" t="s">
        <v>4</v>
      </c>
      <c r="C21" s="10" t="s">
        <v>52</v>
      </c>
      <c r="D21" s="17">
        <v>475</v>
      </c>
      <c r="E21" s="15">
        <v>1270</v>
      </c>
      <c r="F21" s="16">
        <f t="shared" ref="F21:F30" si="25">SUM(D21:E21)</f>
        <v>1745</v>
      </c>
      <c r="G21" s="39"/>
      <c r="H21" s="40"/>
      <c r="I21" s="41">
        <f t="shared" ref="I21:I24" si="26">SUM(G21:H21)</f>
        <v>0</v>
      </c>
      <c r="J21" s="39"/>
      <c r="K21" s="40"/>
      <c r="L21" s="41">
        <f t="shared" ref="L21:L24" si="27">SUM(J21:K21)</f>
        <v>0</v>
      </c>
      <c r="M21" s="39"/>
      <c r="N21" s="40"/>
      <c r="O21" s="41">
        <f t="shared" ref="O21:O24" si="28">SUM(M21:N21)</f>
        <v>0</v>
      </c>
      <c r="P21" s="39"/>
      <c r="Q21" s="40"/>
      <c r="R21" s="41">
        <f t="shared" ref="R21:R24" si="29">SUM(P21:Q21)</f>
        <v>0</v>
      </c>
      <c r="S21" s="39"/>
      <c r="T21" s="40"/>
      <c r="U21" s="41">
        <f t="shared" ref="U21:U30" si="30">SUM(S21:T21)</f>
        <v>0</v>
      </c>
      <c r="V21" s="39"/>
      <c r="W21" s="40"/>
      <c r="X21" s="40"/>
      <c r="Y21" s="41">
        <f t="shared" ref="Y21" si="31">SUM(V21:W21)</f>
        <v>0</v>
      </c>
      <c r="Z21" s="39"/>
      <c r="AA21" s="40"/>
      <c r="AB21" s="41">
        <f t="shared" ref="AB21:AB30" si="32">SUM(Z21:AA21)</f>
        <v>0</v>
      </c>
      <c r="AC21" s="39"/>
      <c r="AD21" s="40"/>
      <c r="AE21" s="40"/>
      <c r="AF21" s="41">
        <f t="shared" si="8"/>
        <v>0</v>
      </c>
      <c r="AH21" s="46">
        <f t="shared" si="9"/>
        <v>0</v>
      </c>
      <c r="AI21" s="47">
        <f t="shared" si="10"/>
        <v>0</v>
      </c>
      <c r="AJ21" s="48">
        <f t="shared" si="11"/>
        <v>0</v>
      </c>
    </row>
    <row r="22" spans="1:36" ht="15.75" thickBot="1" x14ac:dyDescent="0.3">
      <c r="A22" s="154"/>
      <c r="B22" s="150"/>
      <c r="C22" s="10" t="s">
        <v>22</v>
      </c>
      <c r="D22" s="17">
        <v>563</v>
      </c>
      <c r="E22" s="15">
        <v>1498</v>
      </c>
      <c r="F22" s="16">
        <f t="shared" ref="F22:F24" si="33">SUM(D22:E22)</f>
        <v>2061</v>
      </c>
      <c r="G22" s="17">
        <v>600</v>
      </c>
      <c r="H22" s="15">
        <v>1495</v>
      </c>
      <c r="I22" s="16">
        <f t="shared" si="26"/>
        <v>2095</v>
      </c>
      <c r="J22" s="17">
        <v>574</v>
      </c>
      <c r="K22" s="15">
        <v>1446</v>
      </c>
      <c r="L22" s="16">
        <f t="shared" si="27"/>
        <v>2020</v>
      </c>
      <c r="M22" s="17">
        <v>635</v>
      </c>
      <c r="N22" s="15">
        <v>1427</v>
      </c>
      <c r="O22" s="16">
        <f t="shared" si="28"/>
        <v>2062</v>
      </c>
      <c r="P22" s="17">
        <v>663</v>
      </c>
      <c r="Q22" s="15">
        <v>1505</v>
      </c>
      <c r="R22" s="16">
        <f t="shared" si="29"/>
        <v>2168</v>
      </c>
      <c r="S22" s="17">
        <v>668</v>
      </c>
      <c r="T22" s="15">
        <v>1595</v>
      </c>
      <c r="U22" s="16">
        <f t="shared" si="30"/>
        <v>2263</v>
      </c>
      <c r="V22" s="17">
        <v>738</v>
      </c>
      <c r="W22" s="15">
        <v>1685</v>
      </c>
      <c r="X22" s="15"/>
      <c r="Y22" s="16">
        <f t="shared" ref="Y22:Y44" si="34">SUM(V22:X22)</f>
        <v>2423</v>
      </c>
      <c r="Z22" s="17">
        <v>797</v>
      </c>
      <c r="AA22" s="15">
        <v>1779</v>
      </c>
      <c r="AB22" s="16">
        <f t="shared" si="32"/>
        <v>2576</v>
      </c>
      <c r="AC22" s="17">
        <v>854</v>
      </c>
      <c r="AD22" s="15">
        <v>1956</v>
      </c>
      <c r="AE22" s="15"/>
      <c r="AF22" s="16">
        <f t="shared" si="8"/>
        <v>2810</v>
      </c>
      <c r="AH22" s="46">
        <f t="shared" si="9"/>
        <v>151.68738898756661</v>
      </c>
      <c r="AI22" s="47">
        <f t="shared" si="10"/>
        <v>130.57409879839784</v>
      </c>
      <c r="AJ22" s="48">
        <f t="shared" si="11"/>
        <v>136.34158175642892</v>
      </c>
    </row>
    <row r="23" spans="1:36" ht="15.75" thickBot="1" x14ac:dyDescent="0.3">
      <c r="A23" s="154"/>
      <c r="B23" s="150"/>
      <c r="C23" s="10" t="s">
        <v>23</v>
      </c>
      <c r="D23" s="17">
        <v>106</v>
      </c>
      <c r="E23" s="15">
        <v>244</v>
      </c>
      <c r="F23" s="16">
        <f t="shared" si="33"/>
        <v>350</v>
      </c>
      <c r="G23" s="17">
        <v>122</v>
      </c>
      <c r="H23" s="15">
        <v>280</v>
      </c>
      <c r="I23" s="16">
        <f t="shared" si="26"/>
        <v>402</v>
      </c>
      <c r="J23" s="17">
        <v>135</v>
      </c>
      <c r="K23" s="15">
        <v>307</v>
      </c>
      <c r="L23" s="16">
        <f t="shared" si="27"/>
        <v>442</v>
      </c>
      <c r="M23" s="17">
        <v>130</v>
      </c>
      <c r="N23" s="15">
        <v>325</v>
      </c>
      <c r="O23" s="16">
        <f t="shared" si="28"/>
        <v>455</v>
      </c>
      <c r="P23" s="17">
        <v>122</v>
      </c>
      <c r="Q23" s="15">
        <v>317</v>
      </c>
      <c r="R23" s="16">
        <f t="shared" si="29"/>
        <v>439</v>
      </c>
      <c r="S23" s="17">
        <v>104</v>
      </c>
      <c r="T23" s="15">
        <v>281</v>
      </c>
      <c r="U23" s="16">
        <f t="shared" si="30"/>
        <v>385</v>
      </c>
      <c r="V23" s="17">
        <v>115</v>
      </c>
      <c r="W23" s="15">
        <v>328</v>
      </c>
      <c r="X23" s="15"/>
      <c r="Y23" s="16">
        <f t="shared" si="34"/>
        <v>443</v>
      </c>
      <c r="Z23" s="17">
        <v>137</v>
      </c>
      <c r="AA23" s="15">
        <v>381</v>
      </c>
      <c r="AB23" s="16">
        <f t="shared" si="32"/>
        <v>518</v>
      </c>
      <c r="AC23" s="17">
        <v>123</v>
      </c>
      <c r="AD23" s="15">
        <v>366</v>
      </c>
      <c r="AE23" s="15"/>
      <c r="AF23" s="16">
        <f t="shared" si="8"/>
        <v>489</v>
      </c>
      <c r="AH23" s="46">
        <f t="shared" si="9"/>
        <v>116.03773584905662</v>
      </c>
      <c r="AI23" s="47">
        <f t="shared" si="10"/>
        <v>150</v>
      </c>
      <c r="AJ23" s="48">
        <f t="shared" si="11"/>
        <v>139.71428571428572</v>
      </c>
    </row>
    <row r="24" spans="1:36" ht="15.75" thickBot="1" x14ac:dyDescent="0.3">
      <c r="A24" s="154"/>
      <c r="B24" s="150"/>
      <c r="C24" s="10" t="s">
        <v>26</v>
      </c>
      <c r="D24" s="17">
        <v>1314</v>
      </c>
      <c r="E24" s="15">
        <v>1140</v>
      </c>
      <c r="F24" s="16">
        <f t="shared" si="33"/>
        <v>2454</v>
      </c>
      <c r="G24" s="17">
        <v>1354</v>
      </c>
      <c r="H24" s="15">
        <v>1190</v>
      </c>
      <c r="I24" s="16">
        <f t="shared" si="26"/>
        <v>2544</v>
      </c>
      <c r="J24" s="17">
        <v>1432</v>
      </c>
      <c r="K24" s="15">
        <v>1260</v>
      </c>
      <c r="L24" s="16">
        <f t="shared" si="27"/>
        <v>2692</v>
      </c>
      <c r="M24" s="17">
        <v>1446</v>
      </c>
      <c r="N24" s="15">
        <v>1332</v>
      </c>
      <c r="O24" s="16">
        <f t="shared" si="28"/>
        <v>2778</v>
      </c>
      <c r="P24" s="17">
        <v>1492</v>
      </c>
      <c r="Q24" s="15">
        <v>1428</v>
      </c>
      <c r="R24" s="16">
        <f t="shared" si="29"/>
        <v>2920</v>
      </c>
      <c r="S24" s="17">
        <v>1633</v>
      </c>
      <c r="T24" s="15">
        <v>1491</v>
      </c>
      <c r="U24" s="16">
        <f t="shared" si="30"/>
        <v>3124</v>
      </c>
      <c r="V24" s="17">
        <v>1863</v>
      </c>
      <c r="W24" s="15">
        <v>1650</v>
      </c>
      <c r="X24" s="15"/>
      <c r="Y24" s="16">
        <f t="shared" si="34"/>
        <v>3513</v>
      </c>
      <c r="Z24" s="17">
        <f>1886+23</f>
        <v>1909</v>
      </c>
      <c r="AA24" s="15">
        <v>1681</v>
      </c>
      <c r="AB24" s="16">
        <f t="shared" si="32"/>
        <v>3590</v>
      </c>
      <c r="AC24" s="17">
        <v>1698</v>
      </c>
      <c r="AD24" s="15">
        <v>1618</v>
      </c>
      <c r="AE24" s="15"/>
      <c r="AF24" s="16">
        <f t="shared" si="8"/>
        <v>3316</v>
      </c>
      <c r="AH24" s="46">
        <f t="shared" si="9"/>
        <v>129.22374429223743</v>
      </c>
      <c r="AI24" s="47">
        <f t="shared" si="10"/>
        <v>141.92982456140351</v>
      </c>
      <c r="AJ24" s="48">
        <f t="shared" si="11"/>
        <v>135.12632436837814</v>
      </c>
    </row>
    <row r="25" spans="1:36" ht="15.75" thickBot="1" x14ac:dyDescent="0.3">
      <c r="A25" s="154"/>
      <c r="B25" s="150"/>
      <c r="C25" s="10" t="s">
        <v>31</v>
      </c>
      <c r="D25" s="17"/>
      <c r="E25" s="15"/>
      <c r="F25" s="16"/>
      <c r="G25" s="17"/>
      <c r="H25" s="15"/>
      <c r="I25" s="16"/>
      <c r="J25" s="17"/>
      <c r="K25" s="15"/>
      <c r="L25" s="16"/>
      <c r="M25" s="17"/>
      <c r="N25" s="15"/>
      <c r="O25" s="16"/>
      <c r="P25" s="17"/>
      <c r="Q25" s="15"/>
      <c r="R25" s="16"/>
      <c r="S25" s="17"/>
      <c r="T25" s="15"/>
      <c r="U25" s="16"/>
      <c r="V25" s="17"/>
      <c r="W25" s="15"/>
      <c r="X25" s="15"/>
      <c r="Y25" s="16"/>
      <c r="Z25" s="17">
        <v>27</v>
      </c>
      <c r="AA25" s="15">
        <v>97</v>
      </c>
      <c r="AB25" s="16">
        <f t="shared" si="32"/>
        <v>124</v>
      </c>
      <c r="AC25" s="17">
        <v>78</v>
      </c>
      <c r="AD25" s="15">
        <v>156</v>
      </c>
      <c r="AE25" s="15"/>
      <c r="AF25" s="16">
        <f t="shared" si="8"/>
        <v>234</v>
      </c>
      <c r="AH25" s="46"/>
      <c r="AI25" s="47"/>
      <c r="AJ25" s="48"/>
    </row>
    <row r="26" spans="1:36" ht="15.75" thickBot="1" x14ac:dyDescent="0.3">
      <c r="A26" s="154"/>
      <c r="B26" s="150"/>
      <c r="C26" s="10" t="s">
        <v>73</v>
      </c>
      <c r="D26" s="17"/>
      <c r="E26" s="15"/>
      <c r="F26" s="16"/>
      <c r="G26" s="17"/>
      <c r="H26" s="15"/>
      <c r="I26" s="16"/>
      <c r="J26" s="17"/>
      <c r="K26" s="15"/>
      <c r="L26" s="16"/>
      <c r="M26" s="17"/>
      <c r="N26" s="15"/>
      <c r="O26" s="16"/>
      <c r="P26" s="17"/>
      <c r="Q26" s="15"/>
      <c r="R26" s="16"/>
      <c r="S26" s="17"/>
      <c r="T26" s="15"/>
      <c r="U26" s="16"/>
      <c r="V26" s="17"/>
      <c r="W26" s="15"/>
      <c r="X26" s="15"/>
      <c r="Y26" s="16"/>
      <c r="Z26" s="17"/>
      <c r="AA26" s="15"/>
      <c r="AB26" s="16"/>
      <c r="AC26" s="17">
        <v>18</v>
      </c>
      <c r="AD26" s="15">
        <v>13</v>
      </c>
      <c r="AE26" s="15"/>
      <c r="AF26" s="16">
        <f t="shared" si="8"/>
        <v>31</v>
      </c>
      <c r="AH26" s="46"/>
      <c r="AI26" s="47"/>
      <c r="AJ26" s="48"/>
    </row>
    <row r="27" spans="1:36" ht="15.75" thickBot="1" x14ac:dyDescent="0.3">
      <c r="A27" s="154"/>
      <c r="B27" s="150"/>
      <c r="C27" s="10" t="s">
        <v>35</v>
      </c>
      <c r="D27" s="17">
        <v>2387</v>
      </c>
      <c r="E27" s="15">
        <v>2285</v>
      </c>
      <c r="F27" s="16">
        <f t="shared" si="25"/>
        <v>4672</v>
      </c>
      <c r="G27" s="17">
        <v>2629</v>
      </c>
      <c r="H27" s="15">
        <v>2497</v>
      </c>
      <c r="I27" s="16">
        <f t="shared" ref="I27:I29" si="35">SUM(G27:H27)</f>
        <v>5126</v>
      </c>
      <c r="J27" s="17">
        <v>2769</v>
      </c>
      <c r="K27" s="15">
        <v>2530</v>
      </c>
      <c r="L27" s="16">
        <f t="shared" ref="L27:L29" si="36">SUM(J27:K27)</f>
        <v>5299</v>
      </c>
      <c r="M27" s="17">
        <v>2810</v>
      </c>
      <c r="N27" s="15">
        <v>2633</v>
      </c>
      <c r="O27" s="16">
        <f t="shared" ref="O27:O29" si="37">SUM(M27:N27)</f>
        <v>5443</v>
      </c>
      <c r="P27" s="17">
        <v>2884</v>
      </c>
      <c r="Q27" s="15">
        <v>2713</v>
      </c>
      <c r="R27" s="16">
        <f t="shared" ref="R27:R29" si="38">SUM(P27:Q27)</f>
        <v>5597</v>
      </c>
      <c r="S27" s="17">
        <v>2906</v>
      </c>
      <c r="T27" s="15">
        <v>2756</v>
      </c>
      <c r="U27" s="16">
        <f t="shared" si="30"/>
        <v>5662</v>
      </c>
      <c r="V27" s="17">
        <v>3225</v>
      </c>
      <c r="W27" s="15">
        <v>2909</v>
      </c>
      <c r="X27" s="15"/>
      <c r="Y27" s="16">
        <f t="shared" si="34"/>
        <v>6134</v>
      </c>
      <c r="Z27" s="17">
        <v>3481</v>
      </c>
      <c r="AA27" s="15">
        <v>3109</v>
      </c>
      <c r="AB27" s="16">
        <f t="shared" si="32"/>
        <v>6590</v>
      </c>
      <c r="AC27" s="17">
        <v>3508</v>
      </c>
      <c r="AD27" s="15">
        <v>3080</v>
      </c>
      <c r="AE27" s="15"/>
      <c r="AF27" s="16">
        <f t="shared" si="8"/>
        <v>6588</v>
      </c>
      <c r="AH27" s="46">
        <f t="shared" si="9"/>
        <v>146.96271470465018</v>
      </c>
      <c r="AI27" s="47">
        <f t="shared" si="10"/>
        <v>134.79212253829323</v>
      </c>
      <c r="AJ27" s="48">
        <f t="shared" si="11"/>
        <v>141.01027397260273</v>
      </c>
    </row>
    <row r="28" spans="1:36" ht="15.75" thickBot="1" x14ac:dyDescent="0.3">
      <c r="A28" s="154"/>
      <c r="B28" s="150"/>
      <c r="C28" s="10" t="s">
        <v>28</v>
      </c>
      <c r="D28" s="17">
        <v>60</v>
      </c>
      <c r="E28" s="15">
        <v>9</v>
      </c>
      <c r="F28" s="16">
        <f t="shared" si="25"/>
        <v>69</v>
      </c>
      <c r="G28" s="17">
        <v>62</v>
      </c>
      <c r="H28" s="15">
        <v>18</v>
      </c>
      <c r="I28" s="16">
        <f t="shared" si="35"/>
        <v>80</v>
      </c>
      <c r="J28" s="17">
        <v>71</v>
      </c>
      <c r="K28" s="15">
        <v>14</v>
      </c>
      <c r="L28" s="16">
        <f t="shared" si="36"/>
        <v>85</v>
      </c>
      <c r="M28" s="17">
        <v>39</v>
      </c>
      <c r="N28" s="15">
        <v>7</v>
      </c>
      <c r="O28" s="16">
        <f t="shared" si="37"/>
        <v>46</v>
      </c>
      <c r="P28" s="17">
        <v>25</v>
      </c>
      <c r="Q28" s="15">
        <v>3</v>
      </c>
      <c r="R28" s="16">
        <f t="shared" si="38"/>
        <v>28</v>
      </c>
      <c r="S28" s="17">
        <v>21</v>
      </c>
      <c r="T28" s="15">
        <v>5</v>
      </c>
      <c r="U28" s="16">
        <f t="shared" si="30"/>
        <v>26</v>
      </c>
      <c r="V28" s="17">
        <v>54</v>
      </c>
      <c r="W28" s="15">
        <v>3</v>
      </c>
      <c r="X28" s="15"/>
      <c r="Y28" s="16">
        <f t="shared" si="34"/>
        <v>57</v>
      </c>
      <c r="Z28" s="17">
        <v>64</v>
      </c>
      <c r="AA28" s="15">
        <v>1</v>
      </c>
      <c r="AB28" s="16">
        <f t="shared" si="32"/>
        <v>65</v>
      </c>
      <c r="AC28" s="17">
        <v>83</v>
      </c>
      <c r="AD28" s="15">
        <v>2</v>
      </c>
      <c r="AE28" s="15"/>
      <c r="AF28" s="16">
        <f t="shared" si="8"/>
        <v>85</v>
      </c>
      <c r="AH28" s="46">
        <f t="shared" si="9"/>
        <v>138.33333333333334</v>
      </c>
      <c r="AI28" s="47">
        <f t="shared" si="10"/>
        <v>22.222222222222221</v>
      </c>
      <c r="AJ28" s="48">
        <f t="shared" si="11"/>
        <v>123.18840579710144</v>
      </c>
    </row>
    <row r="29" spans="1:36" ht="15.75" thickBot="1" x14ac:dyDescent="0.3">
      <c r="A29" s="154"/>
      <c r="B29" s="150"/>
      <c r="C29" s="10" t="s">
        <v>58</v>
      </c>
      <c r="D29" s="17">
        <v>163</v>
      </c>
      <c r="E29" s="15">
        <v>101</v>
      </c>
      <c r="F29" s="16">
        <f t="shared" si="25"/>
        <v>264</v>
      </c>
      <c r="G29" s="17">
        <v>188</v>
      </c>
      <c r="H29" s="15">
        <v>98</v>
      </c>
      <c r="I29" s="16">
        <f t="shared" si="35"/>
        <v>286</v>
      </c>
      <c r="J29" s="17">
        <v>171</v>
      </c>
      <c r="K29" s="15">
        <v>86</v>
      </c>
      <c r="L29" s="16">
        <f t="shared" si="36"/>
        <v>257</v>
      </c>
      <c r="M29" s="17">
        <v>180</v>
      </c>
      <c r="N29" s="15">
        <v>78</v>
      </c>
      <c r="O29" s="16">
        <f t="shared" si="37"/>
        <v>258</v>
      </c>
      <c r="P29" s="17">
        <v>198</v>
      </c>
      <c r="Q29" s="15">
        <v>98</v>
      </c>
      <c r="R29" s="16">
        <f t="shared" si="38"/>
        <v>296</v>
      </c>
      <c r="S29" s="17">
        <v>167</v>
      </c>
      <c r="T29" s="15">
        <v>91</v>
      </c>
      <c r="U29" s="16">
        <f t="shared" si="30"/>
        <v>258</v>
      </c>
      <c r="V29" s="17">
        <v>148</v>
      </c>
      <c r="W29" s="15">
        <v>75</v>
      </c>
      <c r="X29" s="15"/>
      <c r="Y29" s="16">
        <f t="shared" si="34"/>
        <v>223</v>
      </c>
      <c r="Z29" s="17">
        <v>142</v>
      </c>
      <c r="AA29" s="15">
        <v>62</v>
      </c>
      <c r="AB29" s="16">
        <f t="shared" si="32"/>
        <v>204</v>
      </c>
      <c r="AC29" s="17">
        <v>137</v>
      </c>
      <c r="AD29" s="15">
        <v>62</v>
      </c>
      <c r="AE29" s="15"/>
      <c r="AF29" s="16">
        <f t="shared" si="8"/>
        <v>199</v>
      </c>
      <c r="AH29" s="46">
        <f t="shared" si="9"/>
        <v>84.049079754601223</v>
      </c>
      <c r="AI29" s="47">
        <f t="shared" si="10"/>
        <v>61.386138613861384</v>
      </c>
      <c r="AJ29" s="48">
        <f t="shared" si="11"/>
        <v>75.378787878787875</v>
      </c>
    </row>
    <row r="30" spans="1:36" ht="15.75" thickBot="1" x14ac:dyDescent="0.3">
      <c r="A30" s="154"/>
      <c r="B30" s="150"/>
      <c r="C30" s="10" t="s">
        <v>59</v>
      </c>
      <c r="D30" s="17">
        <v>3044</v>
      </c>
      <c r="E30" s="15">
        <v>318</v>
      </c>
      <c r="F30" s="16">
        <f t="shared" si="25"/>
        <v>3362</v>
      </c>
      <c r="G30" s="17">
        <v>3208</v>
      </c>
      <c r="H30" s="15">
        <v>323</v>
      </c>
      <c r="I30" s="16">
        <f t="shared" ref="I30" si="39">SUM(G30:H30)</f>
        <v>3531</v>
      </c>
      <c r="J30" s="17">
        <v>3234</v>
      </c>
      <c r="K30" s="15">
        <v>329</v>
      </c>
      <c r="L30" s="16">
        <f t="shared" ref="L30" si="40">SUM(J30:K30)</f>
        <v>3563</v>
      </c>
      <c r="M30" s="17">
        <v>3475</v>
      </c>
      <c r="N30" s="15">
        <v>391</v>
      </c>
      <c r="O30" s="16">
        <f t="shared" ref="O30" si="41">SUM(M30:N30)</f>
        <v>3866</v>
      </c>
      <c r="P30" s="17">
        <v>3329</v>
      </c>
      <c r="Q30" s="15">
        <v>452</v>
      </c>
      <c r="R30" s="16">
        <f t="shared" ref="R30" si="42">SUM(P30:Q30)</f>
        <v>3781</v>
      </c>
      <c r="S30" s="17">
        <v>3369</v>
      </c>
      <c r="T30" s="15">
        <v>483</v>
      </c>
      <c r="U30" s="16">
        <f t="shared" si="30"/>
        <v>3852</v>
      </c>
      <c r="V30" s="17">
        <v>3552</v>
      </c>
      <c r="W30" s="15">
        <v>551</v>
      </c>
      <c r="X30" s="15"/>
      <c r="Y30" s="16">
        <f t="shared" si="34"/>
        <v>4103</v>
      </c>
      <c r="Z30" s="17">
        <v>3506</v>
      </c>
      <c r="AA30" s="15">
        <v>557</v>
      </c>
      <c r="AB30" s="16">
        <f t="shared" si="32"/>
        <v>4063</v>
      </c>
      <c r="AC30" s="17">
        <v>3489</v>
      </c>
      <c r="AD30" s="15">
        <v>605</v>
      </c>
      <c r="AE30" s="15">
        <v>1</v>
      </c>
      <c r="AF30" s="16">
        <f t="shared" si="8"/>
        <v>4095</v>
      </c>
      <c r="AH30" s="46">
        <f t="shared" si="9"/>
        <v>114.61892247043363</v>
      </c>
      <c r="AI30" s="47">
        <f t="shared" si="10"/>
        <v>190.25157232704402</v>
      </c>
      <c r="AJ30" s="48">
        <f t="shared" si="11"/>
        <v>121.80249851279001</v>
      </c>
    </row>
    <row r="31" spans="1:36" ht="15.75" thickBot="1" x14ac:dyDescent="0.3">
      <c r="A31" s="154"/>
      <c r="B31" s="151"/>
      <c r="C31" s="11" t="s">
        <v>5</v>
      </c>
      <c r="D31" s="20">
        <f t="shared" ref="D31:R31" si="43">SUM(D21:D30)</f>
        <v>8112</v>
      </c>
      <c r="E31" s="18">
        <f t="shared" si="43"/>
        <v>6865</v>
      </c>
      <c r="F31" s="19">
        <f t="shared" si="43"/>
        <v>14977</v>
      </c>
      <c r="G31" s="20">
        <f t="shared" si="43"/>
        <v>8163</v>
      </c>
      <c r="H31" s="18">
        <f t="shared" si="43"/>
        <v>5901</v>
      </c>
      <c r="I31" s="19">
        <f t="shared" si="43"/>
        <v>14064</v>
      </c>
      <c r="J31" s="20">
        <f t="shared" si="43"/>
        <v>8386</v>
      </c>
      <c r="K31" s="18">
        <f t="shared" si="43"/>
        <v>5972</v>
      </c>
      <c r="L31" s="19">
        <f t="shared" si="43"/>
        <v>14358</v>
      </c>
      <c r="M31" s="20">
        <f t="shared" si="43"/>
        <v>8715</v>
      </c>
      <c r="N31" s="18">
        <f t="shared" si="43"/>
        <v>6193</v>
      </c>
      <c r="O31" s="19">
        <f t="shared" si="43"/>
        <v>14908</v>
      </c>
      <c r="P31" s="20">
        <f t="shared" si="43"/>
        <v>8713</v>
      </c>
      <c r="Q31" s="18">
        <f t="shared" si="43"/>
        <v>6516</v>
      </c>
      <c r="R31" s="19">
        <f t="shared" si="43"/>
        <v>15229</v>
      </c>
      <c r="S31" s="20">
        <f t="shared" ref="S31:U31" si="44">SUM(S21:S30)</f>
        <v>8868</v>
      </c>
      <c r="T31" s="18">
        <f t="shared" si="44"/>
        <v>6702</v>
      </c>
      <c r="U31" s="19">
        <f t="shared" si="44"/>
        <v>15570</v>
      </c>
      <c r="V31" s="20">
        <f t="shared" ref="V31:W31" si="45">SUM(V21:V30)</f>
        <v>9695</v>
      </c>
      <c r="W31" s="18">
        <f t="shared" si="45"/>
        <v>7201</v>
      </c>
      <c r="X31" s="18">
        <f t="shared" ref="X31" si="46">SUM(X21:X30)</f>
        <v>0</v>
      </c>
      <c r="Y31" s="19">
        <f t="shared" si="34"/>
        <v>16896</v>
      </c>
      <c r="Z31" s="20">
        <f t="shared" ref="Z31:AB31" si="47">SUM(Z21:Z30)</f>
        <v>10063</v>
      </c>
      <c r="AA31" s="18">
        <f t="shared" si="47"/>
        <v>7667</v>
      </c>
      <c r="AB31" s="19">
        <f t="shared" si="47"/>
        <v>17730</v>
      </c>
      <c r="AC31" s="20">
        <f>SUM(AC21:AC30)</f>
        <v>9988</v>
      </c>
      <c r="AD31" s="18">
        <f>SUM(AD21:AD30)</f>
        <v>7858</v>
      </c>
      <c r="AE31" s="18">
        <f>SUM(AE21:AE30)</f>
        <v>1</v>
      </c>
      <c r="AF31" s="19">
        <f t="shared" si="8"/>
        <v>17847</v>
      </c>
      <c r="AH31" s="49">
        <f t="shared" si="9"/>
        <v>123.12623274161736</v>
      </c>
      <c r="AI31" s="50">
        <f t="shared" si="10"/>
        <v>114.46467589220684</v>
      </c>
      <c r="AJ31" s="51">
        <f t="shared" si="11"/>
        <v>119.16271616478599</v>
      </c>
    </row>
    <row r="32" spans="1:36" ht="15.75" thickBot="1" x14ac:dyDescent="0.3">
      <c r="A32" s="155"/>
      <c r="B32" s="152" t="s">
        <v>6</v>
      </c>
      <c r="C32" s="153"/>
      <c r="D32" s="90">
        <f t="shared" ref="D32:R32" si="48">D20+D31</f>
        <v>35815</v>
      </c>
      <c r="E32" s="91">
        <f t="shared" si="48"/>
        <v>51845</v>
      </c>
      <c r="F32" s="92">
        <f t="shared" si="48"/>
        <v>87660</v>
      </c>
      <c r="G32" s="90">
        <f t="shared" si="48"/>
        <v>36727</v>
      </c>
      <c r="H32" s="91">
        <f t="shared" si="48"/>
        <v>51792</v>
      </c>
      <c r="I32" s="92">
        <f t="shared" si="48"/>
        <v>88519</v>
      </c>
      <c r="J32" s="90">
        <f t="shared" si="48"/>
        <v>37319</v>
      </c>
      <c r="K32" s="91">
        <f t="shared" si="48"/>
        <v>51772</v>
      </c>
      <c r="L32" s="92">
        <f t="shared" si="48"/>
        <v>89091</v>
      </c>
      <c r="M32" s="90">
        <f t="shared" si="48"/>
        <v>38646</v>
      </c>
      <c r="N32" s="91">
        <f t="shared" si="48"/>
        <v>52573</v>
      </c>
      <c r="O32" s="92">
        <f t="shared" si="48"/>
        <v>91219</v>
      </c>
      <c r="P32" s="90">
        <f t="shared" si="48"/>
        <v>38670</v>
      </c>
      <c r="Q32" s="91">
        <f t="shared" si="48"/>
        <v>52684</v>
      </c>
      <c r="R32" s="92">
        <f t="shared" si="48"/>
        <v>91354</v>
      </c>
      <c r="S32" s="90">
        <f t="shared" ref="S32:U32" si="49">S20+S31</f>
        <v>38857</v>
      </c>
      <c r="T32" s="91">
        <f t="shared" si="49"/>
        <v>53103</v>
      </c>
      <c r="U32" s="92">
        <f t="shared" si="49"/>
        <v>91960</v>
      </c>
      <c r="V32" s="90">
        <f t="shared" ref="V32:W32" si="50">V20+V31</f>
        <v>40484</v>
      </c>
      <c r="W32" s="91">
        <f t="shared" si="50"/>
        <v>54151</v>
      </c>
      <c r="X32" s="91">
        <f t="shared" ref="X32" si="51">X20+X31</f>
        <v>2</v>
      </c>
      <c r="Y32" s="92">
        <f t="shared" si="34"/>
        <v>94637</v>
      </c>
      <c r="Z32" s="90">
        <f t="shared" ref="Z32:AB32" si="52">Z20+Z31</f>
        <v>42012</v>
      </c>
      <c r="AA32" s="91">
        <f t="shared" si="52"/>
        <v>55586</v>
      </c>
      <c r="AB32" s="92">
        <f t="shared" si="52"/>
        <v>97598</v>
      </c>
      <c r="AC32" s="90">
        <f>AC20+AC31</f>
        <v>41184</v>
      </c>
      <c r="AD32" s="91">
        <f>AD20+AD31</f>
        <v>53883</v>
      </c>
      <c r="AE32" s="91"/>
      <c r="AF32" s="92">
        <f t="shared" si="8"/>
        <v>95067</v>
      </c>
      <c r="AH32" s="93">
        <f t="shared" si="9"/>
        <v>114.99092558983665</v>
      </c>
      <c r="AI32" s="94">
        <f t="shared" si="10"/>
        <v>103.93094801813096</v>
      </c>
      <c r="AJ32" s="95">
        <f t="shared" si="11"/>
        <v>108.44969199178645</v>
      </c>
    </row>
    <row r="33" spans="1:36" ht="15.75" thickBot="1" x14ac:dyDescent="0.3">
      <c r="A33" s="147" t="s">
        <v>7</v>
      </c>
      <c r="B33" s="156" t="s">
        <v>1</v>
      </c>
      <c r="C33" s="58" t="s">
        <v>10</v>
      </c>
      <c r="D33" s="59">
        <v>749</v>
      </c>
      <c r="E33" s="60">
        <v>1079</v>
      </c>
      <c r="F33" s="61">
        <f t="shared" ref="F33:F35" si="53">SUM(D33:E33)</f>
        <v>1828</v>
      </c>
      <c r="G33" s="59">
        <v>722</v>
      </c>
      <c r="H33" s="60">
        <v>1037</v>
      </c>
      <c r="I33" s="61">
        <f t="shared" ref="I33:I35" si="54">SUM(G33:H33)</f>
        <v>1759</v>
      </c>
      <c r="J33" s="59">
        <v>635</v>
      </c>
      <c r="K33" s="60">
        <v>963</v>
      </c>
      <c r="L33" s="61">
        <f t="shared" ref="L33:L35" si="55">SUM(J33:K33)</f>
        <v>1598</v>
      </c>
      <c r="M33" s="59">
        <v>570</v>
      </c>
      <c r="N33" s="60">
        <v>972</v>
      </c>
      <c r="O33" s="61">
        <f t="shared" ref="O33:O35" si="56">SUM(M33:N33)</f>
        <v>1542</v>
      </c>
      <c r="P33" s="59">
        <v>584</v>
      </c>
      <c r="Q33" s="60">
        <v>1035</v>
      </c>
      <c r="R33" s="61">
        <f t="shared" ref="R33:R35" si="57">SUM(P33:Q33)</f>
        <v>1619</v>
      </c>
      <c r="S33" s="59">
        <v>599</v>
      </c>
      <c r="T33" s="60">
        <v>967</v>
      </c>
      <c r="U33" s="61">
        <f t="shared" ref="U33:U35" si="58">SUM(S33:T33)</f>
        <v>1566</v>
      </c>
      <c r="V33" s="59">
        <v>587</v>
      </c>
      <c r="W33" s="60">
        <v>985</v>
      </c>
      <c r="X33" s="60"/>
      <c r="Y33" s="61">
        <f t="shared" si="34"/>
        <v>1572</v>
      </c>
      <c r="Z33" s="59">
        <v>571</v>
      </c>
      <c r="AA33" s="60">
        <v>1059</v>
      </c>
      <c r="AB33" s="61">
        <f t="shared" ref="AB33:AB35" si="59">SUM(Z33:AA33)</f>
        <v>1630</v>
      </c>
      <c r="AC33" s="59">
        <v>528</v>
      </c>
      <c r="AD33" s="60">
        <v>1052</v>
      </c>
      <c r="AE33" s="60"/>
      <c r="AF33" s="61">
        <f t="shared" si="8"/>
        <v>1580</v>
      </c>
      <c r="AG33" s="62"/>
      <c r="AH33" s="63">
        <f t="shared" si="9"/>
        <v>70.493991989319099</v>
      </c>
      <c r="AI33" s="64">
        <f t="shared" si="10"/>
        <v>97.497683039851708</v>
      </c>
      <c r="AJ33" s="65">
        <f t="shared" si="11"/>
        <v>86.433260393873084</v>
      </c>
    </row>
    <row r="34" spans="1:36" ht="15.75" thickBot="1" x14ac:dyDescent="0.3">
      <c r="A34" s="147"/>
      <c r="B34" s="156"/>
      <c r="C34" s="66" t="s">
        <v>9</v>
      </c>
      <c r="D34" s="67">
        <v>10</v>
      </c>
      <c r="E34" s="68">
        <v>17</v>
      </c>
      <c r="F34" s="69">
        <f t="shared" si="53"/>
        <v>27</v>
      </c>
      <c r="G34" s="67">
        <v>12</v>
      </c>
      <c r="H34" s="68">
        <v>20</v>
      </c>
      <c r="I34" s="69">
        <f t="shared" si="54"/>
        <v>32</v>
      </c>
      <c r="J34" s="67">
        <v>6</v>
      </c>
      <c r="K34" s="68">
        <v>21</v>
      </c>
      <c r="L34" s="69">
        <f t="shared" si="55"/>
        <v>27</v>
      </c>
      <c r="M34" s="67">
        <v>5</v>
      </c>
      <c r="N34" s="68">
        <v>10</v>
      </c>
      <c r="O34" s="69">
        <f t="shared" si="56"/>
        <v>15</v>
      </c>
      <c r="P34" s="67">
        <v>9</v>
      </c>
      <c r="Q34" s="68">
        <v>28</v>
      </c>
      <c r="R34" s="69">
        <f t="shared" si="57"/>
        <v>37</v>
      </c>
      <c r="S34" s="67">
        <v>12</v>
      </c>
      <c r="T34" s="68">
        <v>26</v>
      </c>
      <c r="U34" s="69">
        <f t="shared" si="58"/>
        <v>38</v>
      </c>
      <c r="V34" s="67">
        <v>18</v>
      </c>
      <c r="W34" s="68">
        <v>29</v>
      </c>
      <c r="X34" s="68"/>
      <c r="Y34" s="69">
        <f t="shared" si="34"/>
        <v>47</v>
      </c>
      <c r="Z34" s="67">
        <v>26</v>
      </c>
      <c r="AA34" s="68">
        <v>30</v>
      </c>
      <c r="AB34" s="69">
        <f t="shared" si="59"/>
        <v>56</v>
      </c>
      <c r="AC34" s="67">
        <v>32</v>
      </c>
      <c r="AD34" s="68">
        <v>48</v>
      </c>
      <c r="AE34" s="68"/>
      <c r="AF34" s="69">
        <f t="shared" si="8"/>
        <v>80</v>
      </c>
      <c r="AG34" s="62"/>
      <c r="AH34" s="70">
        <f t="shared" si="9"/>
        <v>320</v>
      </c>
      <c r="AI34" s="71">
        <f t="shared" si="10"/>
        <v>282.35294117647061</v>
      </c>
      <c r="AJ34" s="72">
        <f t="shared" si="11"/>
        <v>296.2962962962963</v>
      </c>
    </row>
    <row r="35" spans="1:36" ht="15.75" thickBot="1" x14ac:dyDescent="0.3">
      <c r="A35" s="147"/>
      <c r="B35" s="156"/>
      <c r="C35" s="66" t="s">
        <v>8</v>
      </c>
      <c r="D35" s="67">
        <v>254</v>
      </c>
      <c r="E35" s="68">
        <v>152</v>
      </c>
      <c r="F35" s="69">
        <f t="shared" si="53"/>
        <v>406</v>
      </c>
      <c r="G35" s="67">
        <v>270</v>
      </c>
      <c r="H35" s="68">
        <v>147</v>
      </c>
      <c r="I35" s="69">
        <f t="shared" si="54"/>
        <v>417</v>
      </c>
      <c r="J35" s="67">
        <v>289</v>
      </c>
      <c r="K35" s="68">
        <v>142</v>
      </c>
      <c r="L35" s="69">
        <f t="shared" si="55"/>
        <v>431</v>
      </c>
      <c r="M35" s="67">
        <v>314</v>
      </c>
      <c r="N35" s="68">
        <v>131</v>
      </c>
      <c r="O35" s="69">
        <f t="shared" si="56"/>
        <v>445</v>
      </c>
      <c r="P35" s="67">
        <v>314</v>
      </c>
      <c r="Q35" s="68">
        <v>136</v>
      </c>
      <c r="R35" s="69">
        <f t="shared" si="57"/>
        <v>450</v>
      </c>
      <c r="S35" s="67">
        <v>298</v>
      </c>
      <c r="T35" s="68">
        <v>142</v>
      </c>
      <c r="U35" s="69">
        <f t="shared" si="58"/>
        <v>440</v>
      </c>
      <c r="V35" s="67">
        <v>284</v>
      </c>
      <c r="W35" s="68">
        <v>137</v>
      </c>
      <c r="X35" s="68"/>
      <c r="Y35" s="69">
        <f t="shared" si="34"/>
        <v>421</v>
      </c>
      <c r="Z35" s="67">
        <v>267</v>
      </c>
      <c r="AA35" s="68">
        <v>140</v>
      </c>
      <c r="AB35" s="69">
        <f t="shared" si="59"/>
        <v>407</v>
      </c>
      <c r="AC35" s="67">
        <v>221</v>
      </c>
      <c r="AD35" s="68">
        <v>145</v>
      </c>
      <c r="AE35" s="68"/>
      <c r="AF35" s="69">
        <f t="shared" si="8"/>
        <v>366</v>
      </c>
      <c r="AG35" s="62"/>
      <c r="AH35" s="70">
        <f t="shared" si="9"/>
        <v>87.00787401574803</v>
      </c>
      <c r="AI35" s="71">
        <f t="shared" si="10"/>
        <v>95.39473684210526</v>
      </c>
      <c r="AJ35" s="72">
        <f t="shared" si="11"/>
        <v>90.14778325123153</v>
      </c>
    </row>
    <row r="36" spans="1:36" ht="15.75" thickBot="1" x14ac:dyDescent="0.3">
      <c r="A36" s="147"/>
      <c r="B36" s="156"/>
      <c r="C36" s="73" t="s">
        <v>5</v>
      </c>
      <c r="D36" s="74">
        <f t="shared" ref="D36:F36" si="60">SUM(D33:D35)</f>
        <v>1013</v>
      </c>
      <c r="E36" s="75">
        <f t="shared" si="60"/>
        <v>1248</v>
      </c>
      <c r="F36" s="76">
        <f t="shared" si="60"/>
        <v>2261</v>
      </c>
      <c r="G36" s="74">
        <f t="shared" ref="G36:I36" si="61">SUM(G33:G35)</f>
        <v>1004</v>
      </c>
      <c r="H36" s="75">
        <f t="shared" si="61"/>
        <v>1204</v>
      </c>
      <c r="I36" s="76">
        <f t="shared" si="61"/>
        <v>2208</v>
      </c>
      <c r="J36" s="74">
        <f t="shared" ref="J36:L36" si="62">SUM(J33:J35)</f>
        <v>930</v>
      </c>
      <c r="K36" s="75">
        <f t="shared" si="62"/>
        <v>1126</v>
      </c>
      <c r="L36" s="76">
        <f t="shared" si="62"/>
        <v>2056</v>
      </c>
      <c r="M36" s="74">
        <f t="shared" ref="M36:O36" si="63">SUM(M33:M35)</f>
        <v>889</v>
      </c>
      <c r="N36" s="75">
        <f t="shared" si="63"/>
        <v>1113</v>
      </c>
      <c r="O36" s="76">
        <f t="shared" si="63"/>
        <v>2002</v>
      </c>
      <c r="P36" s="74">
        <f t="shared" ref="P36:R36" si="64">SUM(P33:P35)</f>
        <v>907</v>
      </c>
      <c r="Q36" s="75">
        <f t="shared" si="64"/>
        <v>1199</v>
      </c>
      <c r="R36" s="76">
        <f t="shared" si="64"/>
        <v>2106</v>
      </c>
      <c r="S36" s="74">
        <f t="shared" ref="S36:U36" si="65">SUM(S33:S35)</f>
        <v>909</v>
      </c>
      <c r="T36" s="75">
        <f t="shared" si="65"/>
        <v>1135</v>
      </c>
      <c r="U36" s="76">
        <f t="shared" si="65"/>
        <v>2044</v>
      </c>
      <c r="V36" s="74">
        <f t="shared" ref="V36:X36" si="66">SUM(V33:V35)</f>
        <v>889</v>
      </c>
      <c r="W36" s="75">
        <f t="shared" si="66"/>
        <v>1151</v>
      </c>
      <c r="X36" s="75">
        <f t="shared" si="66"/>
        <v>0</v>
      </c>
      <c r="Y36" s="76">
        <f t="shared" si="34"/>
        <v>2040</v>
      </c>
      <c r="Z36" s="74">
        <f t="shared" ref="Z36:AB36" si="67">SUM(Z33:Z35)</f>
        <v>864</v>
      </c>
      <c r="AA36" s="75">
        <f t="shared" si="67"/>
        <v>1229</v>
      </c>
      <c r="AB36" s="76">
        <f t="shared" si="67"/>
        <v>2093</v>
      </c>
      <c r="AC36" s="74">
        <f t="shared" ref="AC36:AE36" si="68">SUM(AC33:AC35)</f>
        <v>781</v>
      </c>
      <c r="AD36" s="75">
        <f t="shared" si="68"/>
        <v>1245</v>
      </c>
      <c r="AE36" s="75">
        <f t="shared" si="68"/>
        <v>0</v>
      </c>
      <c r="AF36" s="76">
        <f t="shared" si="8"/>
        <v>2026</v>
      </c>
      <c r="AG36" s="62"/>
      <c r="AH36" s="77">
        <f t="shared" si="9"/>
        <v>77.097729516288254</v>
      </c>
      <c r="AI36" s="78">
        <f t="shared" si="10"/>
        <v>99.759615384615387</v>
      </c>
      <c r="AJ36" s="79">
        <f t="shared" si="11"/>
        <v>89.606368863334808</v>
      </c>
    </row>
    <row r="37" spans="1:36" ht="15.75" thickBot="1" x14ac:dyDescent="0.3">
      <c r="A37" s="147"/>
      <c r="B37" s="157" t="s">
        <v>4</v>
      </c>
      <c r="C37" s="80" t="s">
        <v>10</v>
      </c>
      <c r="D37" s="67">
        <v>1154</v>
      </c>
      <c r="E37" s="68">
        <v>2238</v>
      </c>
      <c r="F37" s="69">
        <f t="shared" ref="F37:F41" si="69">SUM(D37:E37)</f>
        <v>3392</v>
      </c>
      <c r="G37" s="67">
        <v>1160</v>
      </c>
      <c r="H37" s="68">
        <v>2184</v>
      </c>
      <c r="I37" s="69">
        <f t="shared" ref="I37:I41" si="70">SUM(G37:H37)</f>
        <v>3344</v>
      </c>
      <c r="J37" s="67">
        <v>1218</v>
      </c>
      <c r="K37" s="68">
        <v>2202</v>
      </c>
      <c r="L37" s="69">
        <f t="shared" ref="L37:L41" si="71">SUM(J37:K37)</f>
        <v>3420</v>
      </c>
      <c r="M37" s="67">
        <v>1230</v>
      </c>
      <c r="N37" s="68">
        <v>2299</v>
      </c>
      <c r="O37" s="69">
        <f t="shared" ref="O37:O41" si="72">SUM(M37:N37)</f>
        <v>3529</v>
      </c>
      <c r="P37" s="67">
        <v>1237</v>
      </c>
      <c r="Q37" s="68">
        <v>2313</v>
      </c>
      <c r="R37" s="69">
        <f t="shared" ref="R37:R41" si="73">SUM(P37:Q37)</f>
        <v>3550</v>
      </c>
      <c r="S37" s="67">
        <v>1274</v>
      </c>
      <c r="T37" s="68">
        <v>2452</v>
      </c>
      <c r="U37" s="69">
        <f t="shared" ref="U37:U41" si="74">SUM(S37:T37)</f>
        <v>3726</v>
      </c>
      <c r="V37" s="67">
        <v>1294</v>
      </c>
      <c r="W37" s="68">
        <v>2540</v>
      </c>
      <c r="X37" s="68"/>
      <c r="Y37" s="69">
        <f t="shared" si="34"/>
        <v>3834</v>
      </c>
      <c r="Z37" s="67">
        <v>1305</v>
      </c>
      <c r="AA37" s="68">
        <v>2626</v>
      </c>
      <c r="AB37" s="69">
        <f t="shared" ref="AB37:AB41" si="75">SUM(Z37:AA37)</f>
        <v>3931</v>
      </c>
      <c r="AC37" s="67">
        <v>1267</v>
      </c>
      <c r="AD37" s="68">
        <v>2748</v>
      </c>
      <c r="AE37" s="68"/>
      <c r="AF37" s="69">
        <f t="shared" si="8"/>
        <v>4015</v>
      </c>
      <c r="AG37" s="62"/>
      <c r="AH37" s="70">
        <f t="shared" si="9"/>
        <v>109.79202772963606</v>
      </c>
      <c r="AI37" s="71">
        <f t="shared" si="10"/>
        <v>122.7882037533512</v>
      </c>
      <c r="AJ37" s="72">
        <f t="shared" si="11"/>
        <v>118.36674528301887</v>
      </c>
    </row>
    <row r="38" spans="1:36" ht="15.75" thickBot="1" x14ac:dyDescent="0.3">
      <c r="A38" s="147"/>
      <c r="B38" s="157"/>
      <c r="C38" s="80" t="s">
        <v>9</v>
      </c>
      <c r="D38" s="67">
        <v>596</v>
      </c>
      <c r="E38" s="68">
        <v>618</v>
      </c>
      <c r="F38" s="69">
        <f t="shared" si="69"/>
        <v>1214</v>
      </c>
      <c r="G38" s="67">
        <v>612</v>
      </c>
      <c r="H38" s="68">
        <v>607</v>
      </c>
      <c r="I38" s="69">
        <f t="shared" si="70"/>
        <v>1219</v>
      </c>
      <c r="J38" s="67">
        <v>659</v>
      </c>
      <c r="K38" s="68">
        <v>619</v>
      </c>
      <c r="L38" s="69">
        <f t="shared" si="71"/>
        <v>1278</v>
      </c>
      <c r="M38" s="67">
        <v>720</v>
      </c>
      <c r="N38" s="68">
        <v>657</v>
      </c>
      <c r="O38" s="69">
        <f t="shared" si="72"/>
        <v>1377</v>
      </c>
      <c r="P38" s="67">
        <v>664</v>
      </c>
      <c r="Q38" s="68">
        <v>645</v>
      </c>
      <c r="R38" s="69">
        <f t="shared" si="73"/>
        <v>1309</v>
      </c>
      <c r="S38" s="67">
        <v>739</v>
      </c>
      <c r="T38" s="68">
        <v>706</v>
      </c>
      <c r="U38" s="69">
        <f t="shared" si="74"/>
        <v>1445</v>
      </c>
      <c r="V38" s="67">
        <v>741</v>
      </c>
      <c r="W38" s="68">
        <v>698</v>
      </c>
      <c r="X38" s="68"/>
      <c r="Y38" s="69">
        <f t="shared" si="34"/>
        <v>1439</v>
      </c>
      <c r="Z38" s="67">
        <v>748</v>
      </c>
      <c r="AA38" s="68">
        <v>688</v>
      </c>
      <c r="AB38" s="69">
        <f t="shared" si="75"/>
        <v>1436</v>
      </c>
      <c r="AC38" s="67">
        <v>790</v>
      </c>
      <c r="AD38" s="68">
        <v>766</v>
      </c>
      <c r="AE38" s="68">
        <v>1</v>
      </c>
      <c r="AF38" s="69">
        <f t="shared" si="8"/>
        <v>1557</v>
      </c>
      <c r="AG38" s="62"/>
      <c r="AH38" s="70">
        <f t="shared" si="9"/>
        <v>132.5503355704698</v>
      </c>
      <c r="AI38" s="71">
        <f t="shared" si="10"/>
        <v>123.94822006472492</v>
      </c>
      <c r="AJ38" s="72">
        <f t="shared" si="11"/>
        <v>128.25370675453047</v>
      </c>
    </row>
    <row r="39" spans="1:36" ht="15.75" thickBot="1" x14ac:dyDescent="0.3">
      <c r="A39" s="147"/>
      <c r="B39" s="157"/>
      <c r="C39" s="80" t="s">
        <v>11</v>
      </c>
      <c r="D39" s="67">
        <v>146</v>
      </c>
      <c r="E39" s="68">
        <v>189</v>
      </c>
      <c r="F39" s="69">
        <f t="shared" si="69"/>
        <v>335</v>
      </c>
      <c r="G39" s="67">
        <v>139</v>
      </c>
      <c r="H39" s="68">
        <v>203</v>
      </c>
      <c r="I39" s="69">
        <f t="shared" si="70"/>
        <v>342</v>
      </c>
      <c r="J39" s="67">
        <v>128</v>
      </c>
      <c r="K39" s="68">
        <v>184</v>
      </c>
      <c r="L39" s="69">
        <f t="shared" si="71"/>
        <v>312</v>
      </c>
      <c r="M39" s="67">
        <v>128</v>
      </c>
      <c r="N39" s="68">
        <v>172</v>
      </c>
      <c r="O39" s="69">
        <f t="shared" si="72"/>
        <v>300</v>
      </c>
      <c r="P39" s="67">
        <v>139</v>
      </c>
      <c r="Q39" s="68">
        <v>158</v>
      </c>
      <c r="R39" s="69">
        <f t="shared" si="73"/>
        <v>297</v>
      </c>
      <c r="S39" s="67">
        <v>140</v>
      </c>
      <c r="T39" s="68">
        <v>169</v>
      </c>
      <c r="U39" s="69">
        <f t="shared" si="74"/>
        <v>309</v>
      </c>
      <c r="V39" s="67">
        <v>151</v>
      </c>
      <c r="W39" s="68">
        <v>163</v>
      </c>
      <c r="X39" s="68"/>
      <c r="Y39" s="69">
        <f t="shared" si="34"/>
        <v>314</v>
      </c>
      <c r="Z39" s="67">
        <v>114</v>
      </c>
      <c r="AA39" s="68">
        <v>126</v>
      </c>
      <c r="AB39" s="69">
        <f t="shared" si="75"/>
        <v>240</v>
      </c>
      <c r="AC39" s="67">
        <v>125</v>
      </c>
      <c r="AD39" s="68">
        <v>140</v>
      </c>
      <c r="AE39" s="68"/>
      <c r="AF39" s="69">
        <f t="shared" si="8"/>
        <v>265</v>
      </c>
      <c r="AG39" s="62"/>
      <c r="AH39" s="70">
        <f t="shared" si="9"/>
        <v>85.61643835616438</v>
      </c>
      <c r="AI39" s="71">
        <f t="shared" si="10"/>
        <v>74.074074074074076</v>
      </c>
      <c r="AJ39" s="72">
        <f t="shared" si="11"/>
        <v>79.104477611940297</v>
      </c>
    </row>
    <row r="40" spans="1:36" ht="15.75" thickBot="1" x14ac:dyDescent="0.3">
      <c r="A40" s="147"/>
      <c r="B40" s="157"/>
      <c r="C40" s="80" t="s">
        <v>68</v>
      </c>
      <c r="D40" s="113"/>
      <c r="E40" s="114"/>
      <c r="F40" s="115"/>
      <c r="G40" s="113"/>
      <c r="H40" s="114"/>
      <c r="I40" s="115"/>
      <c r="J40" s="113"/>
      <c r="K40" s="114"/>
      <c r="L40" s="115"/>
      <c r="M40" s="113"/>
      <c r="N40" s="114"/>
      <c r="O40" s="115"/>
      <c r="P40" s="113"/>
      <c r="Q40" s="114"/>
      <c r="R40" s="115"/>
      <c r="S40" s="113"/>
      <c r="T40" s="114"/>
      <c r="U40" s="115"/>
      <c r="V40" s="113"/>
      <c r="W40" s="114"/>
      <c r="X40" s="114"/>
      <c r="Y40" s="115"/>
      <c r="Z40" s="67">
        <v>3</v>
      </c>
      <c r="AA40" s="68">
        <v>8</v>
      </c>
      <c r="AB40" s="69">
        <f t="shared" si="75"/>
        <v>11</v>
      </c>
      <c r="AC40" s="67">
        <v>5</v>
      </c>
      <c r="AD40" s="68">
        <v>13</v>
      </c>
      <c r="AE40" s="68"/>
      <c r="AF40" s="69">
        <f t="shared" si="8"/>
        <v>18</v>
      </c>
      <c r="AG40" s="62"/>
      <c r="AH40" s="70"/>
      <c r="AI40" s="71"/>
      <c r="AJ40" s="72"/>
    </row>
    <row r="41" spans="1:36" ht="15.75" thickBot="1" x14ac:dyDescent="0.3">
      <c r="A41" s="147"/>
      <c r="B41" s="157"/>
      <c r="C41" s="80" t="s">
        <v>8</v>
      </c>
      <c r="D41" s="67">
        <v>219</v>
      </c>
      <c r="E41" s="68">
        <v>222</v>
      </c>
      <c r="F41" s="69">
        <f t="shared" si="69"/>
        <v>441</v>
      </c>
      <c r="G41" s="67">
        <v>231</v>
      </c>
      <c r="H41" s="68">
        <v>211</v>
      </c>
      <c r="I41" s="69">
        <f t="shared" si="70"/>
        <v>442</v>
      </c>
      <c r="J41" s="67">
        <v>236</v>
      </c>
      <c r="K41" s="68">
        <v>213</v>
      </c>
      <c r="L41" s="69">
        <f t="shared" si="71"/>
        <v>449</v>
      </c>
      <c r="M41" s="67">
        <v>254</v>
      </c>
      <c r="N41" s="68">
        <v>204</v>
      </c>
      <c r="O41" s="69">
        <f t="shared" si="72"/>
        <v>458</v>
      </c>
      <c r="P41" s="67">
        <v>250</v>
      </c>
      <c r="Q41" s="68">
        <v>231</v>
      </c>
      <c r="R41" s="69">
        <f t="shared" si="73"/>
        <v>481</v>
      </c>
      <c r="S41" s="67">
        <v>268</v>
      </c>
      <c r="T41" s="68">
        <v>228</v>
      </c>
      <c r="U41" s="69">
        <f t="shared" si="74"/>
        <v>496</v>
      </c>
      <c r="V41" s="67">
        <v>261</v>
      </c>
      <c r="W41" s="68">
        <v>242</v>
      </c>
      <c r="X41" s="68"/>
      <c r="Y41" s="69">
        <f t="shared" si="34"/>
        <v>503</v>
      </c>
      <c r="Z41" s="67">
        <v>265</v>
      </c>
      <c r="AA41" s="68">
        <v>259</v>
      </c>
      <c r="AB41" s="69">
        <f t="shared" si="75"/>
        <v>524</v>
      </c>
      <c r="AC41" s="67">
        <v>243</v>
      </c>
      <c r="AD41" s="68">
        <v>273</v>
      </c>
      <c r="AE41" s="68"/>
      <c r="AF41" s="69">
        <f t="shared" si="8"/>
        <v>516</v>
      </c>
      <c r="AG41" s="62"/>
      <c r="AH41" s="70">
        <f t="shared" si="9"/>
        <v>110.95890410958904</v>
      </c>
      <c r="AI41" s="71">
        <f t="shared" si="10"/>
        <v>122.97297297297298</v>
      </c>
      <c r="AJ41" s="72">
        <f t="shared" si="11"/>
        <v>117.00680272108843</v>
      </c>
    </row>
    <row r="42" spans="1:36" ht="15.75" thickBot="1" x14ac:dyDescent="0.3">
      <c r="A42" s="147"/>
      <c r="B42" s="157"/>
      <c r="C42" s="80" t="s">
        <v>73</v>
      </c>
      <c r="D42" s="67"/>
      <c r="E42" s="68"/>
      <c r="F42" s="69"/>
      <c r="G42" s="67"/>
      <c r="H42" s="68"/>
      <c r="I42" s="69"/>
      <c r="J42" s="67"/>
      <c r="K42" s="68"/>
      <c r="L42" s="69"/>
      <c r="M42" s="67"/>
      <c r="N42" s="68"/>
      <c r="O42" s="69"/>
      <c r="P42" s="67"/>
      <c r="Q42" s="68"/>
      <c r="R42" s="69"/>
      <c r="S42" s="67"/>
      <c r="T42" s="68"/>
      <c r="U42" s="69"/>
      <c r="V42" s="67"/>
      <c r="W42" s="68"/>
      <c r="X42" s="68"/>
      <c r="Y42" s="69"/>
      <c r="Z42" s="67"/>
      <c r="AA42" s="68"/>
      <c r="AB42" s="69"/>
      <c r="AC42" s="67">
        <v>96</v>
      </c>
      <c r="AD42" s="68">
        <v>163</v>
      </c>
      <c r="AE42" s="68"/>
      <c r="AF42" s="69">
        <f t="shared" si="8"/>
        <v>259</v>
      </c>
      <c r="AG42" s="62"/>
      <c r="AH42" s="70"/>
      <c r="AI42" s="71"/>
      <c r="AJ42" s="72"/>
    </row>
    <row r="43" spans="1:36" ht="15.75" thickBot="1" x14ac:dyDescent="0.3">
      <c r="A43" s="147"/>
      <c r="B43" s="157"/>
      <c r="C43" s="81" t="s">
        <v>5</v>
      </c>
      <c r="D43" s="82">
        <f t="shared" ref="D43:F43" si="76">SUM(D37:D41)</f>
        <v>2115</v>
      </c>
      <c r="E43" s="83">
        <f t="shared" si="76"/>
        <v>3267</v>
      </c>
      <c r="F43" s="84">
        <f t="shared" si="76"/>
        <v>5382</v>
      </c>
      <c r="G43" s="82">
        <f t="shared" ref="G43:I43" si="77">SUM(G37:G41)</f>
        <v>2142</v>
      </c>
      <c r="H43" s="83">
        <f t="shared" si="77"/>
        <v>3205</v>
      </c>
      <c r="I43" s="84">
        <f t="shared" si="77"/>
        <v>5347</v>
      </c>
      <c r="J43" s="82">
        <f t="shared" ref="J43:L43" si="78">SUM(J37:J41)</f>
        <v>2241</v>
      </c>
      <c r="K43" s="83">
        <f t="shared" si="78"/>
        <v>3218</v>
      </c>
      <c r="L43" s="84">
        <f t="shared" si="78"/>
        <v>5459</v>
      </c>
      <c r="M43" s="82">
        <f t="shared" ref="M43:O43" si="79">SUM(M37:M41)</f>
        <v>2332</v>
      </c>
      <c r="N43" s="83">
        <f t="shared" si="79"/>
        <v>3332</v>
      </c>
      <c r="O43" s="84">
        <f t="shared" si="79"/>
        <v>5664</v>
      </c>
      <c r="P43" s="82">
        <f t="shared" ref="P43:R43" si="80">SUM(P37:P41)</f>
        <v>2290</v>
      </c>
      <c r="Q43" s="83">
        <f t="shared" si="80"/>
        <v>3347</v>
      </c>
      <c r="R43" s="84">
        <f t="shared" si="80"/>
        <v>5637</v>
      </c>
      <c r="S43" s="82">
        <f t="shared" ref="S43:U43" si="81">SUM(S37:S41)</f>
        <v>2421</v>
      </c>
      <c r="T43" s="83">
        <f t="shared" si="81"/>
        <v>3555</v>
      </c>
      <c r="U43" s="84">
        <f t="shared" si="81"/>
        <v>5976</v>
      </c>
      <c r="V43" s="82">
        <f t="shared" ref="V43:W43" si="82">SUM(V37:V41)</f>
        <v>2447</v>
      </c>
      <c r="W43" s="83">
        <f t="shared" si="82"/>
        <v>3643</v>
      </c>
      <c r="X43" s="83">
        <f t="shared" ref="X43" si="83">SUM(X37:X41)</f>
        <v>0</v>
      </c>
      <c r="Y43" s="84">
        <f t="shared" si="34"/>
        <v>6090</v>
      </c>
      <c r="Z43" s="82">
        <f t="shared" ref="Z43:AB43" si="84">SUM(Z37:Z41)</f>
        <v>2435</v>
      </c>
      <c r="AA43" s="83">
        <f t="shared" si="84"/>
        <v>3707</v>
      </c>
      <c r="AB43" s="84">
        <f t="shared" si="84"/>
        <v>6142</v>
      </c>
      <c r="AC43" s="82">
        <f>SUM(AC37:AC42)</f>
        <v>2526</v>
      </c>
      <c r="AD43" s="83">
        <f>SUM(AD37:AD42)</f>
        <v>4103</v>
      </c>
      <c r="AE43" s="83">
        <f t="shared" ref="AE43" si="85">SUM(AE37:AE41)</f>
        <v>1</v>
      </c>
      <c r="AF43" s="84">
        <f t="shared" si="8"/>
        <v>6630</v>
      </c>
      <c r="AG43" s="62"/>
      <c r="AH43" s="85">
        <f t="shared" si="9"/>
        <v>119.43262411347517</v>
      </c>
      <c r="AI43" s="86">
        <f t="shared" si="10"/>
        <v>125.58922558922558</v>
      </c>
      <c r="AJ43" s="87">
        <f t="shared" si="11"/>
        <v>123.18840579710144</v>
      </c>
    </row>
    <row r="44" spans="1:36" ht="15.75" thickBot="1" x14ac:dyDescent="0.3">
      <c r="A44" s="148"/>
      <c r="B44" s="158" t="s">
        <v>16</v>
      </c>
      <c r="C44" s="159"/>
      <c r="D44" s="96">
        <f t="shared" ref="D44:F44" si="86">D36+D43</f>
        <v>3128</v>
      </c>
      <c r="E44" s="97">
        <f t="shared" si="86"/>
        <v>4515</v>
      </c>
      <c r="F44" s="98">
        <f t="shared" si="86"/>
        <v>7643</v>
      </c>
      <c r="G44" s="96">
        <f t="shared" ref="G44:I44" si="87">G36+G43</f>
        <v>3146</v>
      </c>
      <c r="H44" s="97">
        <f t="shared" si="87"/>
        <v>4409</v>
      </c>
      <c r="I44" s="98">
        <f t="shared" si="87"/>
        <v>7555</v>
      </c>
      <c r="J44" s="96">
        <f t="shared" ref="J44:L44" si="88">J36+J43</f>
        <v>3171</v>
      </c>
      <c r="K44" s="97">
        <f t="shared" si="88"/>
        <v>4344</v>
      </c>
      <c r="L44" s="98">
        <f t="shared" si="88"/>
        <v>7515</v>
      </c>
      <c r="M44" s="96">
        <f t="shared" ref="M44:O44" si="89">M36+M43</f>
        <v>3221</v>
      </c>
      <c r="N44" s="97">
        <f t="shared" si="89"/>
        <v>4445</v>
      </c>
      <c r="O44" s="98">
        <f t="shared" si="89"/>
        <v>7666</v>
      </c>
      <c r="P44" s="96">
        <f t="shared" ref="P44:R44" si="90">P36+P43</f>
        <v>3197</v>
      </c>
      <c r="Q44" s="97">
        <f t="shared" si="90"/>
        <v>4546</v>
      </c>
      <c r="R44" s="98">
        <f t="shared" si="90"/>
        <v>7743</v>
      </c>
      <c r="S44" s="96">
        <f t="shared" ref="S44:U44" si="91">S36+S43</f>
        <v>3330</v>
      </c>
      <c r="T44" s="97">
        <f t="shared" si="91"/>
        <v>4690</v>
      </c>
      <c r="U44" s="98">
        <f t="shared" si="91"/>
        <v>8020</v>
      </c>
      <c r="V44" s="96">
        <f t="shared" ref="V44:W44" si="92">V36+V43</f>
        <v>3336</v>
      </c>
      <c r="W44" s="97">
        <f t="shared" si="92"/>
        <v>4794</v>
      </c>
      <c r="X44" s="97">
        <f t="shared" ref="X44" si="93">X36+X43</f>
        <v>0</v>
      </c>
      <c r="Y44" s="98">
        <f t="shared" si="34"/>
        <v>8130</v>
      </c>
      <c r="Z44" s="96">
        <f t="shared" ref="Z44:AB44" si="94">Z36+Z43</f>
        <v>3299</v>
      </c>
      <c r="AA44" s="97">
        <f t="shared" si="94"/>
        <v>4936</v>
      </c>
      <c r="AB44" s="98">
        <f t="shared" si="94"/>
        <v>8235</v>
      </c>
      <c r="AC44" s="96">
        <f>AC36+AC43</f>
        <v>3307</v>
      </c>
      <c r="AD44" s="97">
        <f>AD36+AD43</f>
        <v>5348</v>
      </c>
      <c r="AE44" s="97">
        <f t="shared" ref="AE44" si="95">AE36+AE43</f>
        <v>1</v>
      </c>
      <c r="AF44" s="98">
        <f t="shared" si="8"/>
        <v>8656</v>
      </c>
      <c r="AH44" s="99">
        <f t="shared" si="9"/>
        <v>105.72250639386189</v>
      </c>
      <c r="AI44" s="100">
        <f t="shared" si="10"/>
        <v>118.44961240310077</v>
      </c>
      <c r="AJ44" s="101">
        <f t="shared" si="11"/>
        <v>113.25395786994636</v>
      </c>
    </row>
    <row r="45" spans="1:36" x14ac:dyDescent="0.25">
      <c r="A45" t="s">
        <v>55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H45" s="52"/>
      <c r="AI45" s="52"/>
      <c r="AJ45" s="52"/>
    </row>
    <row r="46" spans="1:36" x14ac:dyDescent="0.25">
      <c r="A46" t="s">
        <v>74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H46" s="52"/>
      <c r="AI46" s="52"/>
      <c r="AJ46" s="52"/>
    </row>
    <row r="47" spans="1:36" x14ac:dyDescent="0.25">
      <c r="A47" t="s">
        <v>76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H47" s="52"/>
      <c r="AI47" s="52"/>
      <c r="AJ47" s="52"/>
    </row>
    <row r="48" spans="1:36" ht="15.75" thickBot="1" x14ac:dyDescent="0.3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H48" s="52"/>
      <c r="AI48" s="52"/>
      <c r="AJ48" s="52"/>
    </row>
    <row r="49" spans="1:36" ht="15.75" thickBot="1" x14ac:dyDescent="0.3">
      <c r="A49" s="160" t="s">
        <v>17</v>
      </c>
      <c r="B49" s="144" t="s">
        <v>1</v>
      </c>
      <c r="C49" s="144"/>
      <c r="D49" s="30">
        <f t="shared" ref="D49:R49" si="96">D20+D36</f>
        <v>28716</v>
      </c>
      <c r="E49" s="28">
        <f t="shared" si="96"/>
        <v>46228</v>
      </c>
      <c r="F49" s="29">
        <f t="shared" si="96"/>
        <v>74944</v>
      </c>
      <c r="G49" s="30">
        <f t="shared" si="96"/>
        <v>29568</v>
      </c>
      <c r="H49" s="28">
        <f t="shared" si="96"/>
        <v>47095</v>
      </c>
      <c r="I49" s="29">
        <f t="shared" si="96"/>
        <v>76663</v>
      </c>
      <c r="J49" s="30">
        <f t="shared" si="96"/>
        <v>29863</v>
      </c>
      <c r="K49" s="28">
        <f t="shared" si="96"/>
        <v>46926</v>
      </c>
      <c r="L49" s="29">
        <f t="shared" si="96"/>
        <v>76789</v>
      </c>
      <c r="M49" s="30">
        <f t="shared" si="96"/>
        <v>30820</v>
      </c>
      <c r="N49" s="28">
        <f t="shared" si="96"/>
        <v>47493</v>
      </c>
      <c r="O49" s="29">
        <f t="shared" si="96"/>
        <v>78313</v>
      </c>
      <c r="P49" s="30">
        <f t="shared" si="96"/>
        <v>30864</v>
      </c>
      <c r="Q49" s="28">
        <f t="shared" si="96"/>
        <v>47367</v>
      </c>
      <c r="R49" s="29">
        <f t="shared" si="96"/>
        <v>78231</v>
      </c>
      <c r="S49" s="30">
        <f t="shared" ref="S49:U49" si="97">S20+S36</f>
        <v>30898</v>
      </c>
      <c r="T49" s="28">
        <f t="shared" si="97"/>
        <v>47536</v>
      </c>
      <c r="U49" s="29">
        <f t="shared" si="97"/>
        <v>78434</v>
      </c>
      <c r="V49" s="30">
        <f t="shared" ref="V49:W49" si="98">V20+V36</f>
        <v>31678</v>
      </c>
      <c r="W49" s="28">
        <f t="shared" si="98"/>
        <v>48101</v>
      </c>
      <c r="X49" s="28">
        <f t="shared" ref="X49" si="99">X20+X36</f>
        <v>2</v>
      </c>
      <c r="Y49" s="29">
        <f>Y20+Y36</f>
        <v>79781</v>
      </c>
      <c r="Z49" s="30">
        <f t="shared" ref="Z49:AB49" si="100">Z20+Z36</f>
        <v>32813</v>
      </c>
      <c r="AA49" s="28">
        <f t="shared" si="100"/>
        <v>49148</v>
      </c>
      <c r="AB49" s="29">
        <f t="shared" si="100"/>
        <v>81961</v>
      </c>
      <c r="AC49" s="30">
        <f>AC20+AC36</f>
        <v>31977</v>
      </c>
      <c r="AD49" s="28">
        <f>AD20+AD36</f>
        <v>47270</v>
      </c>
      <c r="AE49" s="28">
        <f>AE20+AE36</f>
        <v>1</v>
      </c>
      <c r="AF49" s="29">
        <f>AF20+AF36</f>
        <v>79248</v>
      </c>
      <c r="AH49" s="53">
        <f>AC49/D49*100</f>
        <v>111.35603844546593</v>
      </c>
      <c r="AI49" s="54">
        <f t="shared" ref="AI49:AI51" si="101">AD49/E49*100</f>
        <v>102.254045167431</v>
      </c>
      <c r="AJ49" s="55">
        <f t="shared" ref="AJ49:AJ51" si="102">AF49/F49*100</f>
        <v>105.74295473953885</v>
      </c>
    </row>
    <row r="50" spans="1:36" ht="15.75" thickBot="1" x14ac:dyDescent="0.3">
      <c r="A50" s="161"/>
      <c r="B50" s="144" t="s">
        <v>4</v>
      </c>
      <c r="C50" s="144"/>
      <c r="D50" s="30">
        <f t="shared" ref="D50:F50" si="103">D31+D43</f>
        <v>10227</v>
      </c>
      <c r="E50" s="28">
        <f t="shared" si="103"/>
        <v>10132</v>
      </c>
      <c r="F50" s="29">
        <f t="shared" si="103"/>
        <v>20359</v>
      </c>
      <c r="G50" s="30">
        <f t="shared" ref="G50:I50" si="104">G31+G43</f>
        <v>10305</v>
      </c>
      <c r="H50" s="28">
        <f t="shared" si="104"/>
        <v>9106</v>
      </c>
      <c r="I50" s="29">
        <f t="shared" si="104"/>
        <v>19411</v>
      </c>
      <c r="J50" s="30">
        <f t="shared" ref="J50:L50" si="105">J31+J43</f>
        <v>10627</v>
      </c>
      <c r="K50" s="28">
        <f t="shared" si="105"/>
        <v>9190</v>
      </c>
      <c r="L50" s="29">
        <f t="shared" si="105"/>
        <v>19817</v>
      </c>
      <c r="M50" s="30">
        <f t="shared" ref="M50:O50" si="106">M31+M43</f>
        <v>11047</v>
      </c>
      <c r="N50" s="28">
        <f t="shared" si="106"/>
        <v>9525</v>
      </c>
      <c r="O50" s="29">
        <f t="shared" si="106"/>
        <v>20572</v>
      </c>
      <c r="P50" s="30">
        <f t="shared" ref="P50:R50" si="107">P31+P43</f>
        <v>11003</v>
      </c>
      <c r="Q50" s="28">
        <f t="shared" si="107"/>
        <v>9863</v>
      </c>
      <c r="R50" s="29">
        <f t="shared" si="107"/>
        <v>20866</v>
      </c>
      <c r="S50" s="30">
        <f t="shared" ref="S50:U50" si="108">S31+S43</f>
        <v>11289</v>
      </c>
      <c r="T50" s="28">
        <f t="shared" si="108"/>
        <v>10257</v>
      </c>
      <c r="U50" s="29">
        <f t="shared" si="108"/>
        <v>21546</v>
      </c>
      <c r="V50" s="30">
        <f t="shared" ref="V50:AB50" si="109">V31+V43</f>
        <v>12142</v>
      </c>
      <c r="W50" s="28">
        <f t="shared" si="109"/>
        <v>10844</v>
      </c>
      <c r="X50" s="28">
        <f t="shared" ref="X50" si="110">X31+X43</f>
        <v>0</v>
      </c>
      <c r="Y50" s="29">
        <f t="shared" si="109"/>
        <v>22986</v>
      </c>
      <c r="Z50" s="30">
        <f t="shared" si="109"/>
        <v>12498</v>
      </c>
      <c r="AA50" s="28">
        <f t="shared" si="109"/>
        <v>11374</v>
      </c>
      <c r="AB50" s="29">
        <f t="shared" si="109"/>
        <v>23872</v>
      </c>
      <c r="AC50" s="30">
        <f t="shared" ref="AC50:AF50" si="111">AC31+AC43</f>
        <v>12514</v>
      </c>
      <c r="AD50" s="28">
        <f t="shared" si="111"/>
        <v>11961</v>
      </c>
      <c r="AE50" s="28">
        <f t="shared" ref="AE50" si="112">AE31+AE43</f>
        <v>2</v>
      </c>
      <c r="AF50" s="29">
        <f t="shared" si="111"/>
        <v>24477</v>
      </c>
      <c r="AH50" s="53">
        <f t="shared" ref="AH50:AH51" si="113">AC50/D50*100</f>
        <v>122.36237410775399</v>
      </c>
      <c r="AI50" s="54">
        <f t="shared" si="101"/>
        <v>118.05171733122779</v>
      </c>
      <c r="AJ50" s="55">
        <f t="shared" si="102"/>
        <v>120.22692666633921</v>
      </c>
    </row>
    <row r="51" spans="1:36" ht="15.75" thickBot="1" x14ac:dyDescent="0.3">
      <c r="A51" s="162"/>
      <c r="B51" s="166" t="s">
        <v>5</v>
      </c>
      <c r="C51" s="166"/>
      <c r="D51" s="33">
        <f t="shared" ref="D51:F51" si="114">D50+D49</f>
        <v>38943</v>
      </c>
      <c r="E51" s="31">
        <f t="shared" si="114"/>
        <v>56360</v>
      </c>
      <c r="F51" s="32">
        <f t="shared" si="114"/>
        <v>95303</v>
      </c>
      <c r="G51" s="33">
        <f t="shared" ref="G51:I51" si="115">G50+G49</f>
        <v>39873</v>
      </c>
      <c r="H51" s="31">
        <f t="shared" si="115"/>
        <v>56201</v>
      </c>
      <c r="I51" s="32">
        <f t="shared" si="115"/>
        <v>96074</v>
      </c>
      <c r="J51" s="33">
        <f t="shared" ref="J51:L51" si="116">J50+J49</f>
        <v>40490</v>
      </c>
      <c r="K51" s="31">
        <f t="shared" si="116"/>
        <v>56116</v>
      </c>
      <c r="L51" s="32">
        <f t="shared" si="116"/>
        <v>96606</v>
      </c>
      <c r="M51" s="33">
        <f t="shared" ref="M51:O51" si="117">M50+M49</f>
        <v>41867</v>
      </c>
      <c r="N51" s="31">
        <f t="shared" si="117"/>
        <v>57018</v>
      </c>
      <c r="O51" s="32">
        <f t="shared" si="117"/>
        <v>98885</v>
      </c>
      <c r="P51" s="33">
        <f t="shared" ref="P51:R51" si="118">P50+P49</f>
        <v>41867</v>
      </c>
      <c r="Q51" s="31">
        <f t="shared" si="118"/>
        <v>57230</v>
      </c>
      <c r="R51" s="32">
        <f t="shared" si="118"/>
        <v>99097</v>
      </c>
      <c r="S51" s="33">
        <f t="shared" ref="S51:U51" si="119">S50+S49</f>
        <v>42187</v>
      </c>
      <c r="T51" s="31">
        <f t="shared" si="119"/>
        <v>57793</v>
      </c>
      <c r="U51" s="32">
        <f t="shared" si="119"/>
        <v>99980</v>
      </c>
      <c r="V51" s="33">
        <f t="shared" ref="V51:W51" si="120">V50+V49</f>
        <v>43820</v>
      </c>
      <c r="W51" s="31">
        <f t="shared" si="120"/>
        <v>58945</v>
      </c>
      <c r="X51" s="31">
        <f t="shared" ref="X51" si="121">X50+X49</f>
        <v>2</v>
      </c>
      <c r="Y51" s="32">
        <f>Y50+Y49</f>
        <v>102767</v>
      </c>
      <c r="Z51" s="33">
        <f t="shared" ref="Z51:AB51" si="122">Z50+Z49</f>
        <v>45311</v>
      </c>
      <c r="AA51" s="31">
        <f t="shared" si="122"/>
        <v>60522</v>
      </c>
      <c r="AB51" s="32">
        <f t="shared" si="122"/>
        <v>105833</v>
      </c>
      <c r="AC51" s="33">
        <f t="shared" ref="AC51:AF51" si="123">AC50+AC49</f>
        <v>44491</v>
      </c>
      <c r="AD51" s="31">
        <f t="shared" si="123"/>
        <v>59231</v>
      </c>
      <c r="AE51" s="31">
        <f t="shared" ref="AE51" si="124">AE50+AE49</f>
        <v>3</v>
      </c>
      <c r="AF51" s="32">
        <f>AF50+AF49</f>
        <v>103725</v>
      </c>
      <c r="AH51" s="33">
        <f t="shared" si="113"/>
        <v>114.24646277893331</v>
      </c>
      <c r="AI51" s="31">
        <f t="shared" si="101"/>
        <v>105.09403832505322</v>
      </c>
      <c r="AJ51" s="32">
        <f t="shared" si="102"/>
        <v>108.83707753166216</v>
      </c>
    </row>
    <row r="52" spans="1:36" x14ac:dyDescent="0.25">
      <c r="E52" s="108">
        <f>E51/F51</f>
        <v>0.59137697659045363</v>
      </c>
      <c r="F52" s="108"/>
      <c r="G52" s="108"/>
      <c r="H52" s="108">
        <f>H51/I51</f>
        <v>0.58497616420675724</v>
      </c>
      <c r="I52" s="108"/>
      <c r="J52" s="108"/>
      <c r="K52" s="108">
        <f>K51/L51</f>
        <v>0.58087489389892966</v>
      </c>
      <c r="L52" s="108"/>
      <c r="M52" s="108"/>
      <c r="N52" s="108">
        <f>N51/O51</f>
        <v>0.57660919249633413</v>
      </c>
      <c r="O52" s="108"/>
      <c r="P52" s="108"/>
      <c r="Q52" s="108">
        <f>Q51/R51</f>
        <v>0.57751496008960912</v>
      </c>
      <c r="R52" s="108"/>
      <c r="S52" s="108"/>
      <c r="T52" s="108">
        <f>T51/U51</f>
        <v>0.57804560912182434</v>
      </c>
      <c r="U52" s="108"/>
      <c r="V52" s="108"/>
      <c r="W52" s="108">
        <f>W51/Y51</f>
        <v>0.57357906721029128</v>
      </c>
      <c r="X52" s="108"/>
      <c r="Y52" s="108"/>
      <c r="Z52" s="108"/>
      <c r="AA52" s="108">
        <f>AA51/AB51</f>
        <v>0.57186321846682986</v>
      </c>
      <c r="AB52" s="108"/>
      <c r="AC52" s="108"/>
      <c r="AD52" s="108">
        <f>AD51/AF51</f>
        <v>0.57103880453121236</v>
      </c>
      <c r="AE52" s="108"/>
      <c r="AF52" s="108"/>
    </row>
    <row r="54" spans="1:36" ht="18.75" x14ac:dyDescent="0.3">
      <c r="A54" s="2" t="s">
        <v>18</v>
      </c>
    </row>
    <row r="55" spans="1:36" x14ac:dyDescent="0.25">
      <c r="A55" s="88" t="s">
        <v>56</v>
      </c>
      <c r="B55" s="89"/>
      <c r="C55" s="89"/>
    </row>
    <row r="56" spans="1:36" x14ac:dyDescent="0.25">
      <c r="D56" s="167"/>
      <c r="E56" s="167"/>
      <c r="F56" s="167"/>
      <c r="G56" s="167"/>
      <c r="H56" s="167"/>
      <c r="I56" s="167"/>
      <c r="J56" s="167"/>
      <c r="K56" s="167"/>
      <c r="L56" s="167"/>
    </row>
    <row r="57" spans="1:36" ht="15.75" thickBot="1" x14ac:dyDescent="0.3">
      <c r="D57" s="125" t="s">
        <v>15</v>
      </c>
      <c r="E57" s="126"/>
      <c r="F57" s="127"/>
      <c r="G57" s="125" t="s">
        <v>45</v>
      </c>
      <c r="H57" s="126"/>
      <c r="I57" s="127"/>
      <c r="J57" s="125" t="s">
        <v>51</v>
      </c>
      <c r="K57" s="126"/>
      <c r="L57" s="127"/>
      <c r="M57" s="125" t="s">
        <v>54</v>
      </c>
      <c r="N57" s="126"/>
      <c r="O57" s="127"/>
      <c r="P57" s="125" t="s">
        <v>60</v>
      </c>
      <c r="Q57" s="126"/>
      <c r="R57" s="127"/>
      <c r="S57" s="125" t="s">
        <v>63</v>
      </c>
      <c r="T57" s="126"/>
      <c r="U57" s="127"/>
      <c r="V57" s="125" t="s">
        <v>64</v>
      </c>
      <c r="W57" s="126"/>
      <c r="X57" s="126"/>
      <c r="Y57" s="127"/>
      <c r="Z57" s="125" t="s">
        <v>66</v>
      </c>
      <c r="AA57" s="126"/>
      <c r="AB57" s="127"/>
      <c r="AC57" s="125" t="s">
        <v>72</v>
      </c>
      <c r="AD57" s="126"/>
      <c r="AE57" s="126"/>
      <c r="AF57" s="127"/>
      <c r="AH57" s="125" t="s">
        <v>67</v>
      </c>
      <c r="AI57" s="126"/>
      <c r="AJ57" s="127"/>
    </row>
    <row r="58" spans="1:36" ht="15.75" thickBot="1" x14ac:dyDescent="0.3">
      <c r="A58" s="4"/>
      <c r="B58" s="5"/>
      <c r="C58" s="56" t="s">
        <v>57</v>
      </c>
      <c r="D58" s="8" t="s">
        <v>12</v>
      </c>
      <c r="E58" s="6" t="s">
        <v>13</v>
      </c>
      <c r="F58" s="7" t="s">
        <v>14</v>
      </c>
      <c r="G58" s="8" t="s">
        <v>12</v>
      </c>
      <c r="H58" s="6" t="s">
        <v>13</v>
      </c>
      <c r="I58" s="7" t="s">
        <v>14</v>
      </c>
      <c r="J58" s="8" t="s">
        <v>12</v>
      </c>
      <c r="K58" s="6" t="s">
        <v>13</v>
      </c>
      <c r="L58" s="7" t="s">
        <v>14</v>
      </c>
      <c r="M58" s="8" t="s">
        <v>12</v>
      </c>
      <c r="N58" s="6" t="s">
        <v>13</v>
      </c>
      <c r="O58" s="7" t="s">
        <v>14</v>
      </c>
      <c r="P58" s="8" t="s">
        <v>12</v>
      </c>
      <c r="Q58" s="6" t="s">
        <v>13</v>
      </c>
      <c r="R58" s="7" t="s">
        <v>14</v>
      </c>
      <c r="S58" s="8" t="s">
        <v>12</v>
      </c>
      <c r="T58" s="6" t="s">
        <v>13</v>
      </c>
      <c r="U58" s="7" t="s">
        <v>14</v>
      </c>
      <c r="V58" s="8" t="s">
        <v>12</v>
      </c>
      <c r="W58" s="6" t="s">
        <v>13</v>
      </c>
      <c r="X58" s="6" t="s">
        <v>65</v>
      </c>
      <c r="Y58" s="7" t="s">
        <v>14</v>
      </c>
      <c r="Z58" s="8" t="s">
        <v>12</v>
      </c>
      <c r="AA58" s="6" t="s">
        <v>13</v>
      </c>
      <c r="AB58" s="7" t="s">
        <v>14</v>
      </c>
      <c r="AC58" s="8" t="s">
        <v>12</v>
      </c>
      <c r="AD58" s="6" t="s">
        <v>13</v>
      </c>
      <c r="AE58" s="6" t="s">
        <v>65</v>
      </c>
      <c r="AF58" s="7" t="s">
        <v>14</v>
      </c>
      <c r="AH58" s="8" t="s">
        <v>12</v>
      </c>
      <c r="AI58" s="6" t="s">
        <v>13</v>
      </c>
      <c r="AJ58" s="7" t="s">
        <v>14</v>
      </c>
    </row>
    <row r="59" spans="1:36" ht="15" customHeight="1" x14ac:dyDescent="0.25">
      <c r="A59" s="163" t="s">
        <v>18</v>
      </c>
      <c r="B59" s="130" t="s">
        <v>19</v>
      </c>
      <c r="C59" s="13" t="s">
        <v>20</v>
      </c>
      <c r="D59" s="23">
        <v>422</v>
      </c>
      <c r="E59" s="21">
        <v>249</v>
      </c>
      <c r="F59" s="22">
        <f>SUM(D59:E59)</f>
        <v>671</v>
      </c>
      <c r="G59" s="23">
        <v>439</v>
      </c>
      <c r="H59" s="21">
        <v>254</v>
      </c>
      <c r="I59" s="22">
        <f>SUM(G59:H59)</f>
        <v>693</v>
      </c>
      <c r="J59" s="23">
        <v>461</v>
      </c>
      <c r="K59" s="21">
        <v>248</v>
      </c>
      <c r="L59" s="22">
        <f>SUM(J59:K59)</f>
        <v>709</v>
      </c>
      <c r="M59" s="23">
        <v>455</v>
      </c>
      <c r="N59" s="21">
        <v>253</v>
      </c>
      <c r="O59" s="22">
        <f>SUM(M59:N59)</f>
        <v>708</v>
      </c>
      <c r="P59" s="23">
        <v>444</v>
      </c>
      <c r="Q59" s="21">
        <v>247</v>
      </c>
      <c r="R59" s="22">
        <f>SUM(P59:Q59)</f>
        <v>691</v>
      </c>
      <c r="S59" s="23">
        <v>449</v>
      </c>
      <c r="T59" s="21">
        <v>276</v>
      </c>
      <c r="U59" s="22">
        <f>SUM(S59:T59)</f>
        <v>725</v>
      </c>
      <c r="V59" s="45">
        <v>446</v>
      </c>
      <c r="W59" s="44">
        <v>294</v>
      </c>
      <c r="X59" s="44"/>
      <c r="Y59" s="16">
        <f t="shared" ref="Y59:Y84" si="125">SUM(V59:X59)</f>
        <v>740</v>
      </c>
      <c r="Z59" s="23">
        <v>463</v>
      </c>
      <c r="AA59" s="21">
        <v>299</v>
      </c>
      <c r="AB59" s="22">
        <f>SUM(Z59:AA59)</f>
        <v>762</v>
      </c>
      <c r="AC59" s="23">
        <v>438</v>
      </c>
      <c r="AD59" s="21">
        <v>277</v>
      </c>
      <c r="AE59" s="21"/>
      <c r="AF59" s="22">
        <f t="shared" ref="AF59:AF85" si="126">SUM(AC59:AE59)</f>
        <v>715</v>
      </c>
      <c r="AH59" s="23">
        <f t="shared" ref="AH59:AH85" si="127">AC59/D59*100</f>
        <v>103.7914691943128</v>
      </c>
      <c r="AI59" s="21">
        <f t="shared" ref="AI59:AI85" si="128">AD59/E59*100</f>
        <v>111.24497991967873</v>
      </c>
      <c r="AJ59" s="22">
        <f t="shared" ref="AJ59:AJ85" si="129">AF59/F59*100</f>
        <v>106.55737704918033</v>
      </c>
    </row>
    <row r="60" spans="1:36" x14ac:dyDescent="0.25">
      <c r="A60" s="164"/>
      <c r="B60" s="131"/>
      <c r="C60" s="14" t="s">
        <v>53</v>
      </c>
      <c r="D60" s="17">
        <v>97</v>
      </c>
      <c r="E60" s="15">
        <v>36</v>
      </c>
      <c r="F60" s="16">
        <f t="shared" ref="F60:F68" si="130">SUM(D60:E60)</f>
        <v>133</v>
      </c>
      <c r="G60" s="17">
        <v>97</v>
      </c>
      <c r="H60" s="15">
        <v>29</v>
      </c>
      <c r="I60" s="16">
        <f t="shared" ref="I60:I68" si="131">SUM(G60:H60)</f>
        <v>126</v>
      </c>
      <c r="J60" s="17">
        <v>105</v>
      </c>
      <c r="K60" s="15">
        <v>24</v>
      </c>
      <c r="L60" s="16">
        <f t="shared" ref="L60:L68" si="132">SUM(J60:K60)</f>
        <v>129</v>
      </c>
      <c r="M60" s="17">
        <v>87</v>
      </c>
      <c r="N60" s="15">
        <v>26</v>
      </c>
      <c r="O60" s="16">
        <f t="shared" ref="O60:O68" si="133">SUM(M60:N60)</f>
        <v>113</v>
      </c>
      <c r="P60" s="17">
        <v>79</v>
      </c>
      <c r="Q60" s="15">
        <v>35</v>
      </c>
      <c r="R60" s="16">
        <f t="shared" ref="R60:R68" si="134">SUM(P60:Q60)</f>
        <v>114</v>
      </c>
      <c r="S60" s="17">
        <v>105</v>
      </c>
      <c r="T60" s="15">
        <v>29</v>
      </c>
      <c r="U60" s="16">
        <f t="shared" ref="U60:U68" si="135">SUM(S60:T60)</f>
        <v>134</v>
      </c>
      <c r="V60" s="45">
        <v>94</v>
      </c>
      <c r="W60" s="44">
        <v>28</v>
      </c>
      <c r="X60" s="44"/>
      <c r="Y60" s="16">
        <f t="shared" si="125"/>
        <v>122</v>
      </c>
      <c r="Z60" s="17">
        <v>95</v>
      </c>
      <c r="AA60" s="15">
        <v>25</v>
      </c>
      <c r="AB60" s="16">
        <f t="shared" ref="AB60:AB68" si="136">SUM(Z60:AA60)</f>
        <v>120</v>
      </c>
      <c r="AC60" s="17">
        <v>91</v>
      </c>
      <c r="AD60" s="15">
        <v>33</v>
      </c>
      <c r="AE60" s="15"/>
      <c r="AF60" s="16">
        <f t="shared" si="126"/>
        <v>124</v>
      </c>
      <c r="AH60" s="17">
        <f t="shared" si="127"/>
        <v>93.814432989690715</v>
      </c>
      <c r="AI60" s="15">
        <f t="shared" si="128"/>
        <v>91.666666666666657</v>
      </c>
      <c r="AJ60" s="16">
        <f t="shared" si="129"/>
        <v>93.233082706766908</v>
      </c>
    </row>
    <row r="61" spans="1:36" x14ac:dyDescent="0.25">
      <c r="A61" s="164"/>
      <c r="B61" s="131"/>
      <c r="C61" s="14" t="s">
        <v>46</v>
      </c>
      <c r="D61" s="17">
        <v>1103</v>
      </c>
      <c r="E61" s="15">
        <v>3343</v>
      </c>
      <c r="F61" s="16">
        <f t="shared" ref="F61" si="137">SUM(D61:E61)</f>
        <v>4446</v>
      </c>
      <c r="G61" s="17">
        <v>1626</v>
      </c>
      <c r="H61" s="15">
        <v>4607</v>
      </c>
      <c r="I61" s="16">
        <f t="shared" si="131"/>
        <v>6233</v>
      </c>
      <c r="J61" s="17">
        <v>1645</v>
      </c>
      <c r="K61" s="15">
        <v>4705</v>
      </c>
      <c r="L61" s="16">
        <f t="shared" si="132"/>
        <v>6350</v>
      </c>
      <c r="M61" s="17">
        <v>1568</v>
      </c>
      <c r="N61" s="15">
        <v>4670</v>
      </c>
      <c r="O61" s="16">
        <f t="shared" si="133"/>
        <v>6238</v>
      </c>
      <c r="P61" s="17">
        <v>1579</v>
      </c>
      <c r="Q61" s="15">
        <v>4533</v>
      </c>
      <c r="R61" s="16">
        <f t="shared" si="134"/>
        <v>6112</v>
      </c>
      <c r="S61" s="17">
        <v>1484</v>
      </c>
      <c r="T61" s="15">
        <v>4356</v>
      </c>
      <c r="U61" s="16">
        <f t="shared" si="135"/>
        <v>5840</v>
      </c>
      <c r="V61" s="45">
        <v>1456</v>
      </c>
      <c r="W61" s="44">
        <v>4374</v>
      </c>
      <c r="X61" s="44"/>
      <c r="Y61" s="16">
        <f t="shared" si="125"/>
        <v>5830</v>
      </c>
      <c r="Z61" s="17">
        <v>1421</v>
      </c>
      <c r="AA61" s="15">
        <v>4175</v>
      </c>
      <c r="AB61" s="16">
        <f t="shared" si="136"/>
        <v>5596</v>
      </c>
      <c r="AC61" s="17">
        <v>1318</v>
      </c>
      <c r="AD61" s="15">
        <v>4018</v>
      </c>
      <c r="AE61" s="15"/>
      <c r="AF61" s="16">
        <f t="shared" si="126"/>
        <v>5336</v>
      </c>
      <c r="AH61" s="17">
        <f t="shared" si="127"/>
        <v>119.49229374433364</v>
      </c>
      <c r="AI61" s="15">
        <f t="shared" si="128"/>
        <v>120.19144481005087</v>
      </c>
      <c r="AJ61" s="16">
        <f t="shared" si="129"/>
        <v>120.01799370220422</v>
      </c>
    </row>
    <row r="62" spans="1:36" x14ac:dyDescent="0.25">
      <c r="A62" s="164"/>
      <c r="B62" s="131"/>
      <c r="C62" s="14" t="s">
        <v>21</v>
      </c>
      <c r="D62" s="17">
        <v>1080</v>
      </c>
      <c r="E62" s="15">
        <v>1352</v>
      </c>
      <c r="F62" s="16">
        <f t="shared" si="130"/>
        <v>2432</v>
      </c>
      <c r="G62" s="17">
        <v>1114</v>
      </c>
      <c r="H62" s="15">
        <v>1314</v>
      </c>
      <c r="I62" s="16">
        <f t="shared" si="131"/>
        <v>2428</v>
      </c>
      <c r="J62" s="17">
        <v>1105</v>
      </c>
      <c r="K62" s="15">
        <v>1284</v>
      </c>
      <c r="L62" s="16">
        <f t="shared" si="132"/>
        <v>2389</v>
      </c>
      <c r="M62" s="17">
        <v>1128</v>
      </c>
      <c r="N62" s="15">
        <v>1237</v>
      </c>
      <c r="O62" s="16">
        <f t="shared" si="133"/>
        <v>2365</v>
      </c>
      <c r="P62" s="17">
        <v>1099</v>
      </c>
      <c r="Q62" s="15">
        <v>1209</v>
      </c>
      <c r="R62" s="16">
        <f t="shared" si="134"/>
        <v>2308</v>
      </c>
      <c r="S62" s="17">
        <v>1129</v>
      </c>
      <c r="T62" s="15">
        <v>1265</v>
      </c>
      <c r="U62" s="16">
        <f t="shared" si="135"/>
        <v>2394</v>
      </c>
      <c r="V62" s="45">
        <v>1221</v>
      </c>
      <c r="W62" s="44">
        <v>1340</v>
      </c>
      <c r="X62" s="44"/>
      <c r="Y62" s="16">
        <f t="shared" si="125"/>
        <v>2561</v>
      </c>
      <c r="Z62" s="17">
        <v>1290</v>
      </c>
      <c r="AA62" s="15">
        <v>1420</v>
      </c>
      <c r="AB62" s="16">
        <f t="shared" si="136"/>
        <v>2710</v>
      </c>
      <c r="AC62" s="17">
        <v>1338</v>
      </c>
      <c r="AD62" s="15">
        <v>1422</v>
      </c>
      <c r="AE62" s="15"/>
      <c r="AF62" s="16">
        <f t="shared" si="126"/>
        <v>2760</v>
      </c>
      <c r="AH62" s="17">
        <f t="shared" si="127"/>
        <v>123.88888888888889</v>
      </c>
      <c r="AI62" s="15">
        <f t="shared" si="128"/>
        <v>105.1775147928994</v>
      </c>
      <c r="AJ62" s="16">
        <f t="shared" si="129"/>
        <v>113.48684210526316</v>
      </c>
    </row>
    <row r="63" spans="1:36" x14ac:dyDescent="0.25">
      <c r="A63" s="164"/>
      <c r="B63" s="131"/>
      <c r="C63" s="14" t="s">
        <v>22</v>
      </c>
      <c r="D63" s="17">
        <v>1027</v>
      </c>
      <c r="E63" s="15">
        <v>2096</v>
      </c>
      <c r="F63" s="16">
        <f t="shared" si="130"/>
        <v>3123</v>
      </c>
      <c r="G63" s="17">
        <v>948</v>
      </c>
      <c r="H63" s="15">
        <v>2005</v>
      </c>
      <c r="I63" s="16">
        <f t="shared" si="131"/>
        <v>2953</v>
      </c>
      <c r="J63" s="17">
        <v>890</v>
      </c>
      <c r="K63" s="15">
        <v>1962</v>
      </c>
      <c r="L63" s="16">
        <f t="shared" si="132"/>
        <v>2852</v>
      </c>
      <c r="M63" s="17">
        <v>950</v>
      </c>
      <c r="N63" s="15">
        <v>2055</v>
      </c>
      <c r="O63" s="16">
        <f t="shared" si="133"/>
        <v>3005</v>
      </c>
      <c r="P63" s="17">
        <v>902</v>
      </c>
      <c r="Q63" s="15">
        <v>2107</v>
      </c>
      <c r="R63" s="16">
        <f t="shared" si="134"/>
        <v>3009</v>
      </c>
      <c r="S63" s="17">
        <v>910</v>
      </c>
      <c r="T63" s="15">
        <v>2152</v>
      </c>
      <c r="U63" s="16">
        <f t="shared" si="135"/>
        <v>3062</v>
      </c>
      <c r="V63" s="45">
        <v>989</v>
      </c>
      <c r="W63" s="44">
        <v>2262</v>
      </c>
      <c r="X63" s="44"/>
      <c r="Y63" s="16">
        <f t="shared" si="125"/>
        <v>3251</v>
      </c>
      <c r="Z63" s="17">
        <v>1092</v>
      </c>
      <c r="AA63" s="15">
        <v>2331</v>
      </c>
      <c r="AB63" s="16">
        <f t="shared" si="136"/>
        <v>3423</v>
      </c>
      <c r="AC63" s="17">
        <v>1122</v>
      </c>
      <c r="AD63" s="15">
        <v>2379</v>
      </c>
      <c r="AE63" s="15"/>
      <c r="AF63" s="16">
        <f t="shared" si="126"/>
        <v>3501</v>
      </c>
      <c r="AH63" s="17">
        <f t="shared" si="127"/>
        <v>109.25024342745861</v>
      </c>
      <c r="AI63" s="15">
        <f t="shared" si="128"/>
        <v>113.50190839694656</v>
      </c>
      <c r="AJ63" s="16">
        <f t="shared" si="129"/>
        <v>112.10374639769452</v>
      </c>
    </row>
    <row r="64" spans="1:36" x14ac:dyDescent="0.25">
      <c r="A64" s="164"/>
      <c r="B64" s="131"/>
      <c r="C64" s="14" t="s">
        <v>23</v>
      </c>
      <c r="D64" s="17">
        <v>3471</v>
      </c>
      <c r="E64" s="15">
        <v>4284</v>
      </c>
      <c r="F64" s="16">
        <f t="shared" si="130"/>
        <v>7755</v>
      </c>
      <c r="G64" s="17">
        <v>3404</v>
      </c>
      <c r="H64" s="15">
        <v>4275</v>
      </c>
      <c r="I64" s="16">
        <f t="shared" si="131"/>
        <v>7679</v>
      </c>
      <c r="J64" s="17">
        <v>3393</v>
      </c>
      <c r="K64" s="15">
        <v>4300</v>
      </c>
      <c r="L64" s="16">
        <f t="shared" si="132"/>
        <v>7693</v>
      </c>
      <c r="M64" s="17">
        <v>3341</v>
      </c>
      <c r="N64" s="15">
        <v>4427</v>
      </c>
      <c r="O64" s="16">
        <f t="shared" si="133"/>
        <v>7768</v>
      </c>
      <c r="P64" s="17">
        <v>3423</v>
      </c>
      <c r="Q64" s="15">
        <v>4672</v>
      </c>
      <c r="R64" s="16">
        <f t="shared" si="134"/>
        <v>8095</v>
      </c>
      <c r="S64" s="17">
        <v>3472</v>
      </c>
      <c r="T64" s="15">
        <v>4947</v>
      </c>
      <c r="U64" s="16">
        <f t="shared" si="135"/>
        <v>8419</v>
      </c>
      <c r="V64" s="45">
        <v>3697</v>
      </c>
      <c r="W64" s="44">
        <v>5338</v>
      </c>
      <c r="X64" s="44"/>
      <c r="Y64" s="16">
        <f t="shared" si="125"/>
        <v>9035</v>
      </c>
      <c r="Z64" s="17">
        <v>3653</v>
      </c>
      <c r="AA64" s="15">
        <v>5316</v>
      </c>
      <c r="AB64" s="16">
        <f t="shared" si="136"/>
        <v>8969</v>
      </c>
      <c r="AC64" s="17">
        <v>3773</v>
      </c>
      <c r="AD64" s="15">
        <v>5403</v>
      </c>
      <c r="AE64" s="15"/>
      <c r="AF64" s="16">
        <f t="shared" si="126"/>
        <v>9176</v>
      </c>
      <c r="AH64" s="17">
        <f t="shared" si="127"/>
        <v>108.70066263324691</v>
      </c>
      <c r="AI64" s="15">
        <f t="shared" si="128"/>
        <v>126.1204481792717</v>
      </c>
      <c r="AJ64" s="16">
        <f t="shared" si="129"/>
        <v>118.32366215344938</v>
      </c>
    </row>
    <row r="65" spans="1:36" x14ac:dyDescent="0.25">
      <c r="A65" s="164"/>
      <c r="B65" s="131"/>
      <c r="C65" s="14" t="s">
        <v>24</v>
      </c>
      <c r="D65" s="17">
        <v>3019</v>
      </c>
      <c r="E65" s="15">
        <v>5346</v>
      </c>
      <c r="F65" s="16">
        <f t="shared" si="130"/>
        <v>8365</v>
      </c>
      <c r="G65" s="17">
        <v>3062</v>
      </c>
      <c r="H65" s="15">
        <v>5603</v>
      </c>
      <c r="I65" s="16">
        <f t="shared" si="131"/>
        <v>8665</v>
      </c>
      <c r="J65" s="17">
        <v>3076</v>
      </c>
      <c r="K65" s="15">
        <v>5836</v>
      </c>
      <c r="L65" s="16">
        <f t="shared" si="132"/>
        <v>8912</v>
      </c>
      <c r="M65" s="17">
        <v>3090</v>
      </c>
      <c r="N65" s="15">
        <v>6000</v>
      </c>
      <c r="O65" s="16">
        <f t="shared" si="133"/>
        <v>9090</v>
      </c>
      <c r="P65" s="17">
        <v>3179</v>
      </c>
      <c r="Q65" s="15">
        <v>6237</v>
      </c>
      <c r="R65" s="16">
        <f t="shared" si="134"/>
        <v>9416</v>
      </c>
      <c r="S65" s="17">
        <v>3156</v>
      </c>
      <c r="T65" s="15">
        <v>6442</v>
      </c>
      <c r="U65" s="16">
        <f t="shared" si="135"/>
        <v>9598</v>
      </c>
      <c r="V65" s="45">
        <v>3391</v>
      </c>
      <c r="W65" s="44">
        <v>7256</v>
      </c>
      <c r="X65" s="44"/>
      <c r="Y65" s="16">
        <f t="shared" si="125"/>
        <v>10647</v>
      </c>
      <c r="Z65" s="17">
        <v>3474</v>
      </c>
      <c r="AA65" s="15">
        <v>7778</v>
      </c>
      <c r="AB65" s="16">
        <f t="shared" si="136"/>
        <v>11252</v>
      </c>
      <c r="AC65" s="17">
        <v>3352</v>
      </c>
      <c r="AD65" s="15">
        <v>7785</v>
      </c>
      <c r="AE65" s="15"/>
      <c r="AF65" s="16">
        <f t="shared" si="126"/>
        <v>11137</v>
      </c>
      <c r="AH65" s="17">
        <f t="shared" si="127"/>
        <v>111.03014243126863</v>
      </c>
      <c r="AI65" s="15">
        <f t="shared" si="128"/>
        <v>145.62289562289564</v>
      </c>
      <c r="AJ65" s="16">
        <f t="shared" si="129"/>
        <v>133.13807531380752</v>
      </c>
    </row>
    <row r="66" spans="1:36" x14ac:dyDescent="0.25">
      <c r="A66" s="164"/>
      <c r="B66" s="131"/>
      <c r="C66" s="14" t="s">
        <v>25</v>
      </c>
      <c r="D66" s="17">
        <v>162</v>
      </c>
      <c r="E66" s="15">
        <v>381</v>
      </c>
      <c r="F66" s="16">
        <f t="shared" si="130"/>
        <v>543</v>
      </c>
      <c r="G66" s="17">
        <v>149</v>
      </c>
      <c r="H66" s="15">
        <v>403</v>
      </c>
      <c r="I66" s="16">
        <f t="shared" si="131"/>
        <v>552</v>
      </c>
      <c r="J66" s="17">
        <v>155</v>
      </c>
      <c r="K66" s="15">
        <v>399</v>
      </c>
      <c r="L66" s="16">
        <f t="shared" si="132"/>
        <v>554</v>
      </c>
      <c r="M66" s="17">
        <v>168</v>
      </c>
      <c r="N66" s="15">
        <v>391</v>
      </c>
      <c r="O66" s="16">
        <f t="shared" si="133"/>
        <v>559</v>
      </c>
      <c r="P66" s="17">
        <v>170</v>
      </c>
      <c r="Q66" s="15">
        <v>424</v>
      </c>
      <c r="R66" s="16">
        <f t="shared" si="134"/>
        <v>594</v>
      </c>
      <c r="S66" s="17">
        <v>190</v>
      </c>
      <c r="T66" s="15">
        <v>497</v>
      </c>
      <c r="U66" s="16">
        <f t="shared" si="135"/>
        <v>687</v>
      </c>
      <c r="V66" s="45">
        <v>236</v>
      </c>
      <c r="W66" s="44">
        <v>656</v>
      </c>
      <c r="X66" s="44"/>
      <c r="Y66" s="16">
        <f t="shared" si="125"/>
        <v>892</v>
      </c>
      <c r="Z66" s="17">
        <v>220</v>
      </c>
      <c r="AA66" s="15">
        <v>707</v>
      </c>
      <c r="AB66" s="16">
        <f t="shared" si="136"/>
        <v>927</v>
      </c>
      <c r="AC66" s="17">
        <v>218</v>
      </c>
      <c r="AD66" s="15">
        <v>720</v>
      </c>
      <c r="AE66" s="15"/>
      <c r="AF66" s="16">
        <f t="shared" si="126"/>
        <v>938</v>
      </c>
      <c r="AH66" s="17">
        <f t="shared" si="127"/>
        <v>134.5679012345679</v>
      </c>
      <c r="AI66" s="15">
        <f t="shared" si="128"/>
        <v>188.97637795275591</v>
      </c>
      <c r="AJ66" s="16">
        <f t="shared" si="129"/>
        <v>172.74401473296501</v>
      </c>
    </row>
    <row r="67" spans="1:36" x14ac:dyDescent="0.25">
      <c r="A67" s="164"/>
      <c r="B67" s="131"/>
      <c r="C67" s="14" t="s">
        <v>26</v>
      </c>
      <c r="D67" s="17">
        <v>7461</v>
      </c>
      <c r="E67" s="15">
        <v>4590</v>
      </c>
      <c r="F67" s="16">
        <f t="shared" si="130"/>
        <v>12051</v>
      </c>
      <c r="G67" s="17">
        <v>7692</v>
      </c>
      <c r="H67" s="15">
        <v>4886</v>
      </c>
      <c r="I67" s="16">
        <f t="shared" si="131"/>
        <v>12578</v>
      </c>
      <c r="J67" s="17">
        <v>7833</v>
      </c>
      <c r="K67" s="15">
        <v>5187</v>
      </c>
      <c r="L67" s="16">
        <f t="shared" si="132"/>
        <v>13020</v>
      </c>
      <c r="M67" s="17">
        <v>7973</v>
      </c>
      <c r="N67" s="15">
        <v>5400</v>
      </c>
      <c r="O67" s="16">
        <f t="shared" si="133"/>
        <v>13373</v>
      </c>
      <c r="P67" s="17">
        <v>8136</v>
      </c>
      <c r="Q67" s="15">
        <v>5691</v>
      </c>
      <c r="R67" s="16">
        <f t="shared" si="134"/>
        <v>13827</v>
      </c>
      <c r="S67" s="17">
        <v>8334</v>
      </c>
      <c r="T67" s="15">
        <v>6020</v>
      </c>
      <c r="U67" s="16">
        <f t="shared" si="135"/>
        <v>14354</v>
      </c>
      <c r="V67" s="45">
        <v>9033</v>
      </c>
      <c r="W67" s="44">
        <v>6643</v>
      </c>
      <c r="X67" s="44"/>
      <c r="Y67" s="16">
        <f t="shared" si="125"/>
        <v>15676</v>
      </c>
      <c r="Z67" s="17">
        <v>9439</v>
      </c>
      <c r="AA67" s="15">
        <v>6989</v>
      </c>
      <c r="AB67" s="16">
        <f t="shared" si="136"/>
        <v>16428</v>
      </c>
      <c r="AC67" s="17">
        <v>9420</v>
      </c>
      <c r="AD67" s="15">
        <v>6819</v>
      </c>
      <c r="AE67" s="15"/>
      <c r="AF67" s="16">
        <f t="shared" si="126"/>
        <v>16239</v>
      </c>
      <c r="AH67" s="17">
        <f t="shared" si="127"/>
        <v>126.25653397667872</v>
      </c>
      <c r="AI67" s="15">
        <f t="shared" si="128"/>
        <v>148.56209150326799</v>
      </c>
      <c r="AJ67" s="16">
        <f t="shared" si="129"/>
        <v>134.75230271346777</v>
      </c>
    </row>
    <row r="68" spans="1:36" x14ac:dyDescent="0.25">
      <c r="A68" s="164"/>
      <c r="B68" s="131"/>
      <c r="C68" s="14" t="s">
        <v>27</v>
      </c>
      <c r="D68" s="17">
        <v>1719</v>
      </c>
      <c r="E68" s="15">
        <v>6472</v>
      </c>
      <c r="F68" s="16">
        <f t="shared" si="130"/>
        <v>8191</v>
      </c>
      <c r="G68" s="17">
        <v>1856</v>
      </c>
      <c r="H68" s="15">
        <v>6784</v>
      </c>
      <c r="I68" s="16">
        <f t="shared" si="131"/>
        <v>8640</v>
      </c>
      <c r="J68" s="17">
        <v>1869</v>
      </c>
      <c r="K68" s="15">
        <v>6973</v>
      </c>
      <c r="L68" s="16">
        <f t="shared" si="132"/>
        <v>8842</v>
      </c>
      <c r="M68" s="17">
        <v>2002</v>
      </c>
      <c r="N68" s="15">
        <v>7441</v>
      </c>
      <c r="O68" s="16">
        <f t="shared" si="133"/>
        <v>9443</v>
      </c>
      <c r="P68" s="17">
        <v>2116</v>
      </c>
      <c r="Q68" s="15">
        <v>8230</v>
      </c>
      <c r="R68" s="16">
        <f t="shared" si="134"/>
        <v>10346</v>
      </c>
      <c r="S68" s="17">
        <v>2286</v>
      </c>
      <c r="T68" s="15">
        <v>9115</v>
      </c>
      <c r="U68" s="16">
        <f t="shared" si="135"/>
        <v>11401</v>
      </c>
      <c r="V68" s="45">
        <v>2441</v>
      </c>
      <c r="W68" s="44">
        <v>9830</v>
      </c>
      <c r="X68" s="44"/>
      <c r="Y68" s="16">
        <f t="shared" si="125"/>
        <v>12271</v>
      </c>
      <c r="Z68" s="17">
        <v>2656</v>
      </c>
      <c r="AA68" s="15">
        <v>10764</v>
      </c>
      <c r="AB68" s="16">
        <f t="shared" si="136"/>
        <v>13420</v>
      </c>
      <c r="AC68" s="17">
        <v>2698</v>
      </c>
      <c r="AD68" s="15">
        <v>11442</v>
      </c>
      <c r="AE68" s="15"/>
      <c r="AF68" s="16">
        <f t="shared" si="126"/>
        <v>14140</v>
      </c>
      <c r="AH68" s="17">
        <f>AC68/D68*100</f>
        <v>156.95171611401977</v>
      </c>
      <c r="AI68" s="15">
        <f t="shared" si="128"/>
        <v>176.79233621755253</v>
      </c>
      <c r="AJ68" s="16">
        <f t="shared" si="129"/>
        <v>172.62849468929312</v>
      </c>
    </row>
    <row r="69" spans="1:36" ht="15.75" thickBot="1" x14ac:dyDescent="0.3">
      <c r="A69" s="164"/>
      <c r="B69" s="132"/>
      <c r="C69" s="11" t="s">
        <v>5</v>
      </c>
      <c r="D69" s="20">
        <f t="shared" ref="D69:L69" si="138">SUM(D59:D68)</f>
        <v>19561</v>
      </c>
      <c r="E69" s="18">
        <f t="shared" si="138"/>
        <v>28149</v>
      </c>
      <c r="F69" s="19">
        <f t="shared" si="138"/>
        <v>47710</v>
      </c>
      <c r="G69" s="20">
        <f t="shared" si="138"/>
        <v>20387</v>
      </c>
      <c r="H69" s="18">
        <f t="shared" si="138"/>
        <v>30160</v>
      </c>
      <c r="I69" s="19">
        <f t="shared" si="138"/>
        <v>50547</v>
      </c>
      <c r="J69" s="20">
        <f t="shared" si="138"/>
        <v>20532</v>
      </c>
      <c r="K69" s="18">
        <f t="shared" si="138"/>
        <v>30918</v>
      </c>
      <c r="L69" s="19">
        <f t="shared" si="138"/>
        <v>51450</v>
      </c>
      <c r="M69" s="20">
        <f t="shared" ref="M69:O69" si="139">SUM(M59:M68)</f>
        <v>20762</v>
      </c>
      <c r="N69" s="18">
        <f t="shared" si="139"/>
        <v>31900</v>
      </c>
      <c r="O69" s="19">
        <f t="shared" si="139"/>
        <v>52662</v>
      </c>
      <c r="P69" s="20">
        <f t="shared" ref="P69:U69" si="140">SUM(P59:P68)</f>
        <v>21127</v>
      </c>
      <c r="Q69" s="18">
        <f t="shared" si="140"/>
        <v>33385</v>
      </c>
      <c r="R69" s="19">
        <f t="shared" si="140"/>
        <v>54512</v>
      </c>
      <c r="S69" s="20">
        <f t="shared" si="140"/>
        <v>21515</v>
      </c>
      <c r="T69" s="18">
        <f t="shared" si="140"/>
        <v>35099</v>
      </c>
      <c r="U69" s="19">
        <f t="shared" si="140"/>
        <v>56614</v>
      </c>
      <c r="V69" s="20">
        <f>SUM(V59:V68)</f>
        <v>23004</v>
      </c>
      <c r="W69" s="18">
        <f t="shared" ref="W69:X69" si="141">SUM(W59:W68)</f>
        <v>38021</v>
      </c>
      <c r="X69" s="18">
        <f t="shared" si="141"/>
        <v>0</v>
      </c>
      <c r="Y69" s="19">
        <f t="shared" si="125"/>
        <v>61025</v>
      </c>
      <c r="Z69" s="20">
        <f t="shared" ref="Z69:AB69" si="142">SUM(Z59:Z68)</f>
        <v>23803</v>
      </c>
      <c r="AA69" s="18">
        <f t="shared" si="142"/>
        <v>39804</v>
      </c>
      <c r="AB69" s="19">
        <f t="shared" si="142"/>
        <v>63607</v>
      </c>
      <c r="AC69" s="20">
        <f t="shared" ref="AC69:AE69" si="143">SUM(AC59:AC68)</f>
        <v>23768</v>
      </c>
      <c r="AD69" s="18">
        <f t="shared" si="143"/>
        <v>40298</v>
      </c>
      <c r="AE69" s="18">
        <f t="shared" si="143"/>
        <v>0</v>
      </c>
      <c r="AF69" s="19">
        <f t="shared" si="126"/>
        <v>64066</v>
      </c>
      <c r="AH69" s="20">
        <f t="shared" si="127"/>
        <v>121.50708041511172</v>
      </c>
      <c r="AI69" s="18">
        <f t="shared" si="128"/>
        <v>143.159614906391</v>
      </c>
      <c r="AJ69" s="19">
        <f t="shared" si="129"/>
        <v>134.28212114860617</v>
      </c>
    </row>
    <row r="70" spans="1:36" x14ac:dyDescent="0.25">
      <c r="A70" s="164"/>
      <c r="B70" s="130" t="s">
        <v>48</v>
      </c>
      <c r="C70" s="43" t="s">
        <v>49</v>
      </c>
      <c r="D70" s="45">
        <f>11+4</f>
        <v>15</v>
      </c>
      <c r="E70" s="44">
        <f>11+8</f>
        <v>19</v>
      </c>
      <c r="F70" s="16">
        <f t="shared" ref="F70:F71" si="144">SUM(D70:E70)</f>
        <v>34</v>
      </c>
      <c r="G70" s="45">
        <v>16</v>
      </c>
      <c r="H70" s="44">
        <v>23</v>
      </c>
      <c r="I70" s="16">
        <f t="shared" ref="I70:I71" si="145">SUM(G70:H70)</f>
        <v>39</v>
      </c>
      <c r="J70" s="45">
        <v>15</v>
      </c>
      <c r="K70" s="44">
        <v>24</v>
      </c>
      <c r="L70" s="16">
        <f t="shared" ref="L70:L71" si="146">SUM(J70:K70)</f>
        <v>39</v>
      </c>
      <c r="M70" s="45">
        <v>17</v>
      </c>
      <c r="N70" s="44">
        <v>29</v>
      </c>
      <c r="O70" s="16">
        <f t="shared" ref="O70:O71" si="147">SUM(M70:N70)</f>
        <v>46</v>
      </c>
      <c r="P70" s="45">
        <v>19</v>
      </c>
      <c r="Q70" s="44">
        <v>27</v>
      </c>
      <c r="R70" s="16">
        <f t="shared" ref="R70:R71" si="148">SUM(P70:Q70)</f>
        <v>46</v>
      </c>
      <c r="S70" s="45">
        <v>20</v>
      </c>
      <c r="T70" s="44">
        <v>25</v>
      </c>
      <c r="U70" s="16">
        <f t="shared" ref="U70:U71" si="149">SUM(S70:T70)</f>
        <v>45</v>
      </c>
      <c r="V70" s="45">
        <v>17</v>
      </c>
      <c r="W70" s="44">
        <v>28</v>
      </c>
      <c r="X70" s="44"/>
      <c r="Y70" s="16">
        <f t="shared" si="125"/>
        <v>45</v>
      </c>
      <c r="Z70" s="45">
        <v>14</v>
      </c>
      <c r="AA70" s="44">
        <v>26</v>
      </c>
      <c r="AB70" s="16">
        <f t="shared" ref="AB70:AB71" si="150">SUM(Z70:AA70)</f>
        <v>40</v>
      </c>
      <c r="AC70" s="45">
        <v>9</v>
      </c>
      <c r="AD70" s="44">
        <v>26</v>
      </c>
      <c r="AE70" s="44"/>
      <c r="AF70" s="16">
        <f t="shared" si="126"/>
        <v>35</v>
      </c>
      <c r="AH70" s="45">
        <f t="shared" si="127"/>
        <v>60</v>
      </c>
      <c r="AI70" s="44">
        <f t="shared" si="128"/>
        <v>136.84210526315789</v>
      </c>
      <c r="AJ70" s="16">
        <f t="shared" si="129"/>
        <v>102.94117647058823</v>
      </c>
    </row>
    <row r="71" spans="1:36" x14ac:dyDescent="0.25">
      <c r="A71" s="164"/>
      <c r="B71" s="131"/>
      <c r="C71" s="14" t="s">
        <v>50</v>
      </c>
      <c r="D71" s="45">
        <v>98</v>
      </c>
      <c r="E71" s="44">
        <v>181</v>
      </c>
      <c r="F71" s="16">
        <f t="shared" si="144"/>
        <v>279</v>
      </c>
      <c r="G71" s="45">
        <v>99</v>
      </c>
      <c r="H71" s="44">
        <v>155</v>
      </c>
      <c r="I71" s="16">
        <f t="shared" si="145"/>
        <v>254</v>
      </c>
      <c r="J71" s="45">
        <v>90</v>
      </c>
      <c r="K71" s="44">
        <v>160</v>
      </c>
      <c r="L71" s="16">
        <f t="shared" si="146"/>
        <v>250</v>
      </c>
      <c r="M71" s="45">
        <v>74</v>
      </c>
      <c r="N71" s="44">
        <v>141</v>
      </c>
      <c r="O71" s="16">
        <f t="shared" si="147"/>
        <v>215</v>
      </c>
      <c r="P71" s="45">
        <v>76</v>
      </c>
      <c r="Q71" s="44">
        <v>153</v>
      </c>
      <c r="R71" s="16">
        <f t="shared" si="148"/>
        <v>229</v>
      </c>
      <c r="S71" s="45">
        <v>68</v>
      </c>
      <c r="T71" s="44">
        <v>182</v>
      </c>
      <c r="U71" s="16">
        <f t="shared" si="149"/>
        <v>250</v>
      </c>
      <c r="V71" s="45">
        <v>72</v>
      </c>
      <c r="W71" s="44">
        <v>176</v>
      </c>
      <c r="X71" s="44"/>
      <c r="Y71" s="16">
        <f t="shared" si="125"/>
        <v>248</v>
      </c>
      <c r="Z71" s="45">
        <v>81</v>
      </c>
      <c r="AA71" s="44">
        <v>164</v>
      </c>
      <c r="AB71" s="16">
        <f t="shared" si="150"/>
        <v>245</v>
      </c>
      <c r="AC71" s="45">
        <v>98</v>
      </c>
      <c r="AD71" s="44">
        <v>170</v>
      </c>
      <c r="AE71" s="44"/>
      <c r="AF71" s="16">
        <f t="shared" si="126"/>
        <v>268</v>
      </c>
      <c r="AH71" s="45">
        <f t="shared" si="127"/>
        <v>100</v>
      </c>
      <c r="AI71" s="44">
        <f t="shared" si="128"/>
        <v>93.922651933701658</v>
      </c>
      <c r="AJ71" s="16">
        <f t="shared" si="129"/>
        <v>96.057347670250891</v>
      </c>
    </row>
    <row r="72" spans="1:36" ht="15.75" thickBot="1" x14ac:dyDescent="0.3">
      <c r="A72" s="164"/>
      <c r="B72" s="132"/>
      <c r="C72" s="42" t="s">
        <v>5</v>
      </c>
      <c r="D72" s="26">
        <f t="shared" ref="D72:F72" si="151">SUM(D70:D71)</f>
        <v>113</v>
      </c>
      <c r="E72" s="24">
        <f t="shared" si="151"/>
        <v>200</v>
      </c>
      <c r="F72" s="25">
        <f t="shared" si="151"/>
        <v>313</v>
      </c>
      <c r="G72" s="26">
        <f t="shared" ref="G72:I72" si="152">SUM(G70:G71)</f>
        <v>115</v>
      </c>
      <c r="H72" s="24">
        <f t="shared" si="152"/>
        <v>178</v>
      </c>
      <c r="I72" s="25">
        <f t="shared" si="152"/>
        <v>293</v>
      </c>
      <c r="J72" s="26">
        <f t="shared" ref="J72:L72" si="153">SUM(J70:J71)</f>
        <v>105</v>
      </c>
      <c r="K72" s="24">
        <f t="shared" si="153"/>
        <v>184</v>
      </c>
      <c r="L72" s="25">
        <f t="shared" si="153"/>
        <v>289</v>
      </c>
      <c r="M72" s="26">
        <f t="shared" ref="M72:O72" si="154">SUM(M70:M71)</f>
        <v>91</v>
      </c>
      <c r="N72" s="24">
        <f t="shared" si="154"/>
        <v>170</v>
      </c>
      <c r="O72" s="25">
        <f t="shared" si="154"/>
        <v>261</v>
      </c>
      <c r="P72" s="26">
        <f t="shared" ref="P72:U72" si="155">SUM(P70:P71)</f>
        <v>95</v>
      </c>
      <c r="Q72" s="24">
        <f t="shared" si="155"/>
        <v>180</v>
      </c>
      <c r="R72" s="25">
        <f t="shared" si="155"/>
        <v>275</v>
      </c>
      <c r="S72" s="26">
        <f t="shared" si="155"/>
        <v>88</v>
      </c>
      <c r="T72" s="24">
        <f t="shared" si="155"/>
        <v>207</v>
      </c>
      <c r="U72" s="25">
        <f t="shared" si="155"/>
        <v>295</v>
      </c>
      <c r="V72" s="20">
        <f>SUM(V70:V71)</f>
        <v>89</v>
      </c>
      <c r="W72" s="18">
        <f t="shared" ref="W72:X72" si="156">SUM(W70:W71)</f>
        <v>204</v>
      </c>
      <c r="X72" s="18">
        <f t="shared" si="156"/>
        <v>0</v>
      </c>
      <c r="Y72" s="19">
        <f t="shared" si="125"/>
        <v>293</v>
      </c>
      <c r="Z72" s="26">
        <f t="shared" ref="Z72:AB72" si="157">SUM(Z70:Z71)</f>
        <v>95</v>
      </c>
      <c r="AA72" s="24">
        <f t="shared" si="157"/>
        <v>190</v>
      </c>
      <c r="AB72" s="25">
        <f t="shared" si="157"/>
        <v>285</v>
      </c>
      <c r="AC72" s="26">
        <f>SUM(AC70:AC71)</f>
        <v>107</v>
      </c>
      <c r="AD72" s="24">
        <f>SUM(AD70:AD71)</f>
        <v>196</v>
      </c>
      <c r="AE72" s="24">
        <f t="shared" ref="AC72:AE72" si="158">SUM(AE70:AE71)</f>
        <v>0</v>
      </c>
      <c r="AF72" s="25">
        <f t="shared" si="126"/>
        <v>303</v>
      </c>
      <c r="AH72" s="26">
        <f t="shared" si="127"/>
        <v>94.690265486725664</v>
      </c>
      <c r="AI72" s="24">
        <f t="shared" si="128"/>
        <v>98</v>
      </c>
      <c r="AJ72" s="25">
        <f t="shared" si="129"/>
        <v>96.805111821086271</v>
      </c>
    </row>
    <row r="73" spans="1:36" ht="15" customHeight="1" x14ac:dyDescent="0.25">
      <c r="A73" s="164"/>
      <c r="B73" s="130" t="s">
        <v>47</v>
      </c>
      <c r="C73" s="13" t="s">
        <v>28</v>
      </c>
      <c r="D73" s="23">
        <v>4601</v>
      </c>
      <c r="E73" s="21">
        <v>2383</v>
      </c>
      <c r="F73" s="22">
        <f>SUM(D73:E73)</f>
        <v>6984</v>
      </c>
      <c r="G73" s="23">
        <v>4841</v>
      </c>
      <c r="H73" s="21">
        <v>2527</v>
      </c>
      <c r="I73" s="22">
        <f>SUM(G73:H73)</f>
        <v>7368</v>
      </c>
      <c r="J73" s="23">
        <v>4985</v>
      </c>
      <c r="K73" s="21">
        <v>2590</v>
      </c>
      <c r="L73" s="22">
        <f>SUM(J73:K73)</f>
        <v>7575</v>
      </c>
      <c r="M73" s="23">
        <v>5060</v>
      </c>
      <c r="N73" s="21">
        <v>2703</v>
      </c>
      <c r="O73" s="22">
        <f>SUM(M73:N73)</f>
        <v>7763</v>
      </c>
      <c r="P73" s="23">
        <v>5368</v>
      </c>
      <c r="Q73" s="21">
        <v>2966</v>
      </c>
      <c r="R73" s="22">
        <f>SUM(P73:Q73)</f>
        <v>8334</v>
      </c>
      <c r="S73" s="23">
        <v>5672</v>
      </c>
      <c r="T73" s="21">
        <v>3145</v>
      </c>
      <c r="U73" s="22">
        <f>SUM(S73:T73)</f>
        <v>8817</v>
      </c>
      <c r="V73" s="45">
        <v>6418</v>
      </c>
      <c r="W73" s="44">
        <v>3393</v>
      </c>
      <c r="X73" s="44"/>
      <c r="Y73" s="16">
        <f t="shared" si="125"/>
        <v>9811</v>
      </c>
      <c r="Z73" s="23">
        <v>6829</v>
      </c>
      <c r="AA73" s="21">
        <v>3603</v>
      </c>
      <c r="AB73" s="22">
        <f>SUM(Z73:AA73)</f>
        <v>10432</v>
      </c>
      <c r="AC73" s="23">
        <v>6738</v>
      </c>
      <c r="AD73" s="21">
        <v>3715</v>
      </c>
      <c r="AE73" s="21"/>
      <c r="AF73" s="22">
        <f t="shared" si="126"/>
        <v>10453</v>
      </c>
      <c r="AH73" s="23">
        <f t="shared" si="127"/>
        <v>146.44642469028472</v>
      </c>
      <c r="AI73" s="21">
        <f t="shared" si="128"/>
        <v>155.89592950062945</v>
      </c>
      <c r="AJ73" s="22">
        <f t="shared" si="129"/>
        <v>149.67067583046963</v>
      </c>
    </row>
    <row r="74" spans="1:36" x14ac:dyDescent="0.25">
      <c r="A74" s="164"/>
      <c r="B74" s="131"/>
      <c r="C74" s="10" t="s">
        <v>58</v>
      </c>
      <c r="D74" s="17">
        <v>1488</v>
      </c>
      <c r="E74" s="15">
        <v>1010</v>
      </c>
      <c r="F74" s="16">
        <f t="shared" ref="F74:F76" si="159">SUM(D74:E74)</f>
        <v>2498</v>
      </c>
      <c r="G74" s="17">
        <v>1513</v>
      </c>
      <c r="H74" s="15">
        <v>1040</v>
      </c>
      <c r="I74" s="16">
        <f t="shared" ref="I74:I76" si="160">SUM(G74:H74)</f>
        <v>2553</v>
      </c>
      <c r="J74" s="17">
        <v>1561</v>
      </c>
      <c r="K74" s="15">
        <v>1090</v>
      </c>
      <c r="L74" s="16">
        <f t="shared" ref="L74:L76" si="161">SUM(J74:K74)</f>
        <v>2651</v>
      </c>
      <c r="M74" s="17">
        <v>1641</v>
      </c>
      <c r="N74" s="15">
        <v>1213</v>
      </c>
      <c r="O74" s="16">
        <f t="shared" ref="O74:O76" si="162">SUM(M74:N74)</f>
        <v>2854</v>
      </c>
      <c r="P74" s="17">
        <v>1701</v>
      </c>
      <c r="Q74" s="15">
        <v>1331</v>
      </c>
      <c r="R74" s="16">
        <f t="shared" ref="R74:R76" si="163">SUM(P74:Q74)</f>
        <v>3032</v>
      </c>
      <c r="S74" s="17">
        <v>1835</v>
      </c>
      <c r="T74" s="15">
        <v>1489</v>
      </c>
      <c r="U74" s="16">
        <f t="shared" ref="U74:U76" si="164">SUM(S74:T74)</f>
        <v>3324</v>
      </c>
      <c r="V74" s="45">
        <v>1871</v>
      </c>
      <c r="W74" s="44">
        <v>1622</v>
      </c>
      <c r="X74" s="44"/>
      <c r="Y74" s="16">
        <f t="shared" si="125"/>
        <v>3493</v>
      </c>
      <c r="Z74" s="17">
        <v>1944</v>
      </c>
      <c r="AA74" s="15">
        <v>1599</v>
      </c>
      <c r="AB74" s="16">
        <f t="shared" ref="AB74:AB76" si="165">SUM(Z74:AA74)</f>
        <v>3543</v>
      </c>
      <c r="AC74" s="17">
        <v>1846</v>
      </c>
      <c r="AD74" s="15">
        <v>1534</v>
      </c>
      <c r="AE74" s="15"/>
      <c r="AF74" s="16">
        <f t="shared" si="126"/>
        <v>3380</v>
      </c>
      <c r="AH74" s="17">
        <f t="shared" si="127"/>
        <v>124.05913978494623</v>
      </c>
      <c r="AI74" s="15">
        <f t="shared" si="128"/>
        <v>151.88118811881188</v>
      </c>
      <c r="AJ74" s="16">
        <f t="shared" si="129"/>
        <v>135.30824659727782</v>
      </c>
    </row>
    <row r="75" spans="1:36" x14ac:dyDescent="0.25">
      <c r="A75" s="164"/>
      <c r="B75" s="131"/>
      <c r="C75" s="14" t="s">
        <v>59</v>
      </c>
      <c r="D75" s="17">
        <v>4200</v>
      </c>
      <c r="E75" s="15">
        <v>1000</v>
      </c>
      <c r="F75" s="16">
        <f t="shared" si="159"/>
        <v>5200</v>
      </c>
      <c r="G75" s="17">
        <v>4347</v>
      </c>
      <c r="H75" s="15">
        <v>1092</v>
      </c>
      <c r="I75" s="16">
        <f t="shared" si="160"/>
        <v>5439</v>
      </c>
      <c r="J75" s="17">
        <v>4466</v>
      </c>
      <c r="K75" s="15">
        <v>1177</v>
      </c>
      <c r="L75" s="16">
        <f t="shared" si="161"/>
        <v>5643</v>
      </c>
      <c r="M75" s="17">
        <v>4685</v>
      </c>
      <c r="N75" s="15">
        <v>1230</v>
      </c>
      <c r="O75" s="16">
        <f t="shared" si="162"/>
        <v>5915</v>
      </c>
      <c r="P75" s="17">
        <v>4767</v>
      </c>
      <c r="Q75" s="15">
        <v>1302</v>
      </c>
      <c r="R75" s="16">
        <f t="shared" si="163"/>
        <v>6069</v>
      </c>
      <c r="S75" s="17">
        <v>4875</v>
      </c>
      <c r="T75" s="15">
        <v>1359</v>
      </c>
      <c r="U75" s="16">
        <f t="shared" si="164"/>
        <v>6234</v>
      </c>
      <c r="V75" s="45">
        <v>5266</v>
      </c>
      <c r="W75" s="44">
        <v>1664</v>
      </c>
      <c r="X75" s="44"/>
      <c r="Y75" s="16">
        <f t="shared" si="125"/>
        <v>6930</v>
      </c>
      <c r="Z75" s="17">
        <v>5307</v>
      </c>
      <c r="AA75" s="15">
        <v>1678</v>
      </c>
      <c r="AB75" s="16">
        <f t="shared" si="165"/>
        <v>6985</v>
      </c>
      <c r="AC75" s="17">
        <v>5138</v>
      </c>
      <c r="AD75" s="15">
        <v>1701</v>
      </c>
      <c r="AE75" s="15"/>
      <c r="AF75" s="16">
        <f t="shared" si="126"/>
        <v>6839</v>
      </c>
      <c r="AH75" s="17">
        <f t="shared" si="127"/>
        <v>122.33333333333334</v>
      </c>
      <c r="AI75" s="15">
        <f t="shared" si="128"/>
        <v>170.1</v>
      </c>
      <c r="AJ75" s="16">
        <f t="shared" si="129"/>
        <v>131.51923076923077</v>
      </c>
    </row>
    <row r="76" spans="1:36" x14ac:dyDescent="0.25">
      <c r="A76" s="164"/>
      <c r="B76" s="133"/>
      <c r="C76" s="38" t="s">
        <v>42</v>
      </c>
      <c r="D76" s="17">
        <v>2061</v>
      </c>
      <c r="E76" s="15">
        <v>1936</v>
      </c>
      <c r="F76" s="16">
        <f t="shared" si="159"/>
        <v>3997</v>
      </c>
      <c r="G76" s="17">
        <v>2063</v>
      </c>
      <c r="H76" s="15">
        <v>1898</v>
      </c>
      <c r="I76" s="16">
        <f t="shared" si="160"/>
        <v>3961</v>
      </c>
      <c r="J76" s="17">
        <v>2009</v>
      </c>
      <c r="K76" s="15">
        <v>1866</v>
      </c>
      <c r="L76" s="16">
        <f t="shared" si="161"/>
        <v>3875</v>
      </c>
      <c r="M76" s="17">
        <v>1907</v>
      </c>
      <c r="N76" s="15">
        <v>1879</v>
      </c>
      <c r="O76" s="16">
        <f t="shared" si="162"/>
        <v>3786</v>
      </c>
      <c r="P76" s="17">
        <v>1831</v>
      </c>
      <c r="Q76" s="15">
        <v>1936</v>
      </c>
      <c r="R76" s="16">
        <f t="shared" si="163"/>
        <v>3767</v>
      </c>
      <c r="S76" s="17">
        <v>1886</v>
      </c>
      <c r="T76" s="15">
        <v>2025</v>
      </c>
      <c r="U76" s="16">
        <f t="shared" si="164"/>
        <v>3911</v>
      </c>
      <c r="V76" s="45">
        <v>1942</v>
      </c>
      <c r="W76" s="44">
        <v>2119</v>
      </c>
      <c r="X76" s="44"/>
      <c r="Y76" s="16">
        <f t="shared" si="125"/>
        <v>4061</v>
      </c>
      <c r="Z76" s="17">
        <v>2127</v>
      </c>
      <c r="AA76" s="15">
        <v>2433</v>
      </c>
      <c r="AB76" s="16">
        <f t="shared" si="165"/>
        <v>4560</v>
      </c>
      <c r="AC76" s="17">
        <v>2241</v>
      </c>
      <c r="AD76" s="15">
        <v>2769</v>
      </c>
      <c r="AE76" s="15"/>
      <c r="AF76" s="16">
        <f t="shared" si="126"/>
        <v>5010</v>
      </c>
      <c r="AH76" s="17">
        <f t="shared" si="127"/>
        <v>108.73362445414847</v>
      </c>
      <c r="AI76" s="15">
        <f t="shared" si="128"/>
        <v>143.02685950413223</v>
      </c>
      <c r="AJ76" s="16">
        <f t="shared" si="129"/>
        <v>125.34400800600449</v>
      </c>
    </row>
    <row r="77" spans="1:36" ht="15.75" thickBot="1" x14ac:dyDescent="0.3">
      <c r="A77" s="164"/>
      <c r="B77" s="132"/>
      <c r="C77" s="11" t="s">
        <v>5</v>
      </c>
      <c r="D77" s="20">
        <f t="shared" ref="D77:F77" si="166">SUM(D73:D76)</f>
        <v>12350</v>
      </c>
      <c r="E77" s="18">
        <f t="shared" si="166"/>
        <v>6329</v>
      </c>
      <c r="F77" s="19">
        <f t="shared" si="166"/>
        <v>18679</v>
      </c>
      <c r="G77" s="20">
        <f t="shared" ref="G77:I77" si="167">SUM(G73:G76)</f>
        <v>12764</v>
      </c>
      <c r="H77" s="18">
        <f t="shared" si="167"/>
        <v>6557</v>
      </c>
      <c r="I77" s="19">
        <f t="shared" si="167"/>
        <v>19321</v>
      </c>
      <c r="J77" s="20">
        <f t="shared" ref="J77:L77" si="168">SUM(J73:J76)</f>
        <v>13021</v>
      </c>
      <c r="K77" s="18">
        <f t="shared" si="168"/>
        <v>6723</v>
      </c>
      <c r="L77" s="19">
        <f t="shared" si="168"/>
        <v>19744</v>
      </c>
      <c r="M77" s="20">
        <f t="shared" ref="M77:O77" si="169">SUM(M73:M76)</f>
        <v>13293</v>
      </c>
      <c r="N77" s="18">
        <f t="shared" si="169"/>
        <v>7025</v>
      </c>
      <c r="O77" s="19">
        <f t="shared" si="169"/>
        <v>20318</v>
      </c>
      <c r="P77" s="20">
        <f t="shared" ref="P77:U77" si="170">SUM(P73:P76)</f>
        <v>13667</v>
      </c>
      <c r="Q77" s="18">
        <f t="shared" si="170"/>
        <v>7535</v>
      </c>
      <c r="R77" s="19">
        <f t="shared" si="170"/>
        <v>21202</v>
      </c>
      <c r="S77" s="20">
        <f t="shared" si="170"/>
        <v>14268</v>
      </c>
      <c r="T77" s="18">
        <f t="shared" si="170"/>
        <v>8018</v>
      </c>
      <c r="U77" s="19">
        <f t="shared" si="170"/>
        <v>22286</v>
      </c>
      <c r="V77" s="26">
        <f>SUM(V73:V76)</f>
        <v>15497</v>
      </c>
      <c r="W77" s="24">
        <f t="shared" ref="W77:X77" si="171">SUM(W73:W76)</f>
        <v>8798</v>
      </c>
      <c r="X77" s="24">
        <f t="shared" si="171"/>
        <v>0</v>
      </c>
      <c r="Y77" s="25">
        <f t="shared" si="125"/>
        <v>24295</v>
      </c>
      <c r="Z77" s="20">
        <f t="shared" ref="Z77:AB77" si="172">SUM(Z73:Z76)</f>
        <v>16207</v>
      </c>
      <c r="AA77" s="18">
        <f t="shared" si="172"/>
        <v>9313</v>
      </c>
      <c r="AB77" s="19">
        <f t="shared" si="172"/>
        <v>25520</v>
      </c>
      <c r="AC77" s="20">
        <f t="shared" ref="AC77:AE77" si="173">SUM(AC73:AC76)</f>
        <v>15963</v>
      </c>
      <c r="AD77" s="18">
        <f t="shared" si="173"/>
        <v>9719</v>
      </c>
      <c r="AE77" s="18">
        <f t="shared" si="173"/>
        <v>0</v>
      </c>
      <c r="AF77" s="19">
        <f t="shared" si="126"/>
        <v>25682</v>
      </c>
      <c r="AH77" s="20">
        <f t="shared" si="127"/>
        <v>129.25506072874492</v>
      </c>
      <c r="AI77" s="18">
        <f t="shared" si="128"/>
        <v>153.5629641333544</v>
      </c>
      <c r="AJ77" s="19">
        <f t="shared" si="129"/>
        <v>137.49130039081322</v>
      </c>
    </row>
    <row r="78" spans="1:36" x14ac:dyDescent="0.25">
      <c r="A78" s="164"/>
      <c r="B78" s="131" t="s">
        <v>29</v>
      </c>
      <c r="C78" s="14" t="s">
        <v>30</v>
      </c>
      <c r="D78" s="17">
        <v>4948</v>
      </c>
      <c r="E78" s="15">
        <v>7615</v>
      </c>
      <c r="F78" s="16">
        <f t="shared" ref="F78:F83" si="174">SUM(D78:E78)</f>
        <v>12563</v>
      </c>
      <c r="G78" s="17">
        <v>4768</v>
      </c>
      <c r="H78" s="15">
        <v>7339</v>
      </c>
      <c r="I78" s="16">
        <f t="shared" ref="I78:I83" si="175">SUM(G78:H78)</f>
        <v>12107</v>
      </c>
      <c r="J78" s="17">
        <v>4744</v>
      </c>
      <c r="K78" s="15">
        <v>7492</v>
      </c>
      <c r="L78" s="16">
        <f t="shared" ref="L78:L83" si="176">SUM(J78:K78)</f>
        <v>12236</v>
      </c>
      <c r="M78" s="17">
        <v>4350</v>
      </c>
      <c r="N78" s="15">
        <v>6567</v>
      </c>
      <c r="O78" s="16">
        <f t="shared" ref="O78:O83" si="177">SUM(M78:N78)</f>
        <v>10917</v>
      </c>
      <c r="P78" s="17">
        <v>4260</v>
      </c>
      <c r="Q78" s="15">
        <v>6563</v>
      </c>
      <c r="R78" s="16">
        <f t="shared" ref="R78:R83" si="178">SUM(P78:Q78)</f>
        <v>10823</v>
      </c>
      <c r="S78" s="17">
        <v>4260</v>
      </c>
      <c r="T78" s="15">
        <v>6627</v>
      </c>
      <c r="U78" s="16">
        <f t="shared" ref="U78:U83" si="179">SUM(S78:T78)</f>
        <v>10887</v>
      </c>
      <c r="V78" s="111">
        <v>4330</v>
      </c>
      <c r="W78" s="112">
        <v>6768</v>
      </c>
      <c r="X78" s="112"/>
      <c r="Y78" s="22">
        <f t="shared" si="125"/>
        <v>11098</v>
      </c>
      <c r="Z78" s="17">
        <v>4375</v>
      </c>
      <c r="AA78" s="15">
        <v>6785</v>
      </c>
      <c r="AB78" s="16">
        <f t="shared" ref="AB78:AB83" si="180">SUM(Z78:AA78)</f>
        <v>11160</v>
      </c>
      <c r="AC78" s="17">
        <v>4273</v>
      </c>
      <c r="AD78" s="15">
        <v>6480</v>
      </c>
      <c r="AE78" s="15"/>
      <c r="AF78" s="16">
        <f t="shared" si="126"/>
        <v>10753</v>
      </c>
      <c r="AH78" s="17">
        <f t="shared" si="127"/>
        <v>86.358124494745354</v>
      </c>
      <c r="AI78" s="15">
        <f t="shared" si="128"/>
        <v>85.09520682862771</v>
      </c>
      <c r="AJ78" s="16">
        <f t="shared" si="129"/>
        <v>85.592613229324215</v>
      </c>
    </row>
    <row r="79" spans="1:36" x14ac:dyDescent="0.25">
      <c r="A79" s="164"/>
      <c r="B79" s="131"/>
      <c r="C79" s="14" t="s">
        <v>32</v>
      </c>
      <c r="D79" s="17">
        <v>735</v>
      </c>
      <c r="E79" s="15">
        <v>2140</v>
      </c>
      <c r="F79" s="16">
        <f t="shared" si="174"/>
        <v>2875</v>
      </c>
      <c r="G79" s="17">
        <v>765</v>
      </c>
      <c r="H79" s="15">
        <v>2218</v>
      </c>
      <c r="I79" s="16">
        <f t="shared" si="175"/>
        <v>2983</v>
      </c>
      <c r="J79" s="17">
        <v>728</v>
      </c>
      <c r="K79" s="15">
        <v>2183</v>
      </c>
      <c r="L79" s="16">
        <f t="shared" si="176"/>
        <v>2911</v>
      </c>
      <c r="M79" s="17">
        <v>686</v>
      </c>
      <c r="N79" s="15">
        <v>2121</v>
      </c>
      <c r="O79" s="16">
        <f t="shared" si="177"/>
        <v>2807</v>
      </c>
      <c r="P79" s="17">
        <v>680</v>
      </c>
      <c r="Q79" s="15">
        <v>2109</v>
      </c>
      <c r="R79" s="16">
        <f t="shared" si="178"/>
        <v>2789</v>
      </c>
      <c r="S79" s="17">
        <v>671</v>
      </c>
      <c r="T79" s="15">
        <v>2066</v>
      </c>
      <c r="U79" s="16">
        <f t="shared" si="179"/>
        <v>2737</v>
      </c>
      <c r="V79" s="45">
        <v>637</v>
      </c>
      <c r="W79" s="44">
        <v>2115</v>
      </c>
      <c r="X79" s="44"/>
      <c r="Y79" s="16">
        <f t="shared" si="125"/>
        <v>2752</v>
      </c>
      <c r="Z79" s="17">
        <v>648</v>
      </c>
      <c r="AA79" s="15">
        <v>2205</v>
      </c>
      <c r="AB79" s="16">
        <f t="shared" si="180"/>
        <v>2853</v>
      </c>
      <c r="AC79" s="17">
        <v>644</v>
      </c>
      <c r="AD79" s="15">
        <v>2163</v>
      </c>
      <c r="AE79" s="15"/>
      <c r="AF79" s="16">
        <f t="shared" si="126"/>
        <v>2807</v>
      </c>
      <c r="AH79" s="17">
        <f t="shared" si="127"/>
        <v>87.61904761904762</v>
      </c>
      <c r="AI79" s="15">
        <f t="shared" si="128"/>
        <v>101.07476635514018</v>
      </c>
      <c r="AJ79" s="16">
        <f t="shared" si="129"/>
        <v>97.634782608695645</v>
      </c>
    </row>
    <row r="80" spans="1:36" x14ac:dyDescent="0.25">
      <c r="A80" s="164"/>
      <c r="B80" s="131"/>
      <c r="C80" s="14" t="s">
        <v>33</v>
      </c>
      <c r="D80" s="17">
        <v>752</v>
      </c>
      <c r="E80" s="15">
        <v>1071</v>
      </c>
      <c r="F80" s="16">
        <f t="shared" si="174"/>
        <v>1823</v>
      </c>
      <c r="G80" s="17">
        <v>642</v>
      </c>
      <c r="H80" s="15">
        <v>903</v>
      </c>
      <c r="I80" s="16">
        <f t="shared" si="175"/>
        <v>1545</v>
      </c>
      <c r="J80" s="17">
        <v>545</v>
      </c>
      <c r="K80" s="15">
        <v>863</v>
      </c>
      <c r="L80" s="16">
        <f t="shared" si="176"/>
        <v>1408</v>
      </c>
      <c r="M80" s="17">
        <v>415</v>
      </c>
      <c r="N80" s="15">
        <v>648</v>
      </c>
      <c r="O80" s="16">
        <f t="shared" si="177"/>
        <v>1063</v>
      </c>
      <c r="P80" s="17">
        <v>386</v>
      </c>
      <c r="Q80" s="15">
        <v>600</v>
      </c>
      <c r="R80" s="16">
        <f t="shared" si="178"/>
        <v>986</v>
      </c>
      <c r="S80" s="17">
        <v>358</v>
      </c>
      <c r="T80" s="15">
        <v>557</v>
      </c>
      <c r="U80" s="16">
        <f t="shared" si="179"/>
        <v>915</v>
      </c>
      <c r="V80" s="45">
        <v>353</v>
      </c>
      <c r="W80" s="44">
        <v>502</v>
      </c>
      <c r="X80" s="44"/>
      <c r="Y80" s="16">
        <f t="shared" si="125"/>
        <v>855</v>
      </c>
      <c r="Z80" s="17">
        <v>316</v>
      </c>
      <c r="AA80" s="15">
        <v>457</v>
      </c>
      <c r="AB80" s="16">
        <f t="shared" si="180"/>
        <v>773</v>
      </c>
      <c r="AC80" s="17">
        <v>309</v>
      </c>
      <c r="AD80" s="15">
        <v>462</v>
      </c>
      <c r="AE80" s="15"/>
      <c r="AF80" s="16">
        <f t="shared" si="126"/>
        <v>771</v>
      </c>
      <c r="AH80" s="17">
        <f t="shared" si="127"/>
        <v>41.090425531914896</v>
      </c>
      <c r="AI80" s="15">
        <f t="shared" si="128"/>
        <v>43.137254901960787</v>
      </c>
      <c r="AJ80" s="16">
        <f t="shared" si="129"/>
        <v>42.29292375205705</v>
      </c>
    </row>
    <row r="81" spans="1:36" x14ac:dyDescent="0.25">
      <c r="A81" s="164"/>
      <c r="B81" s="131"/>
      <c r="C81" s="14" t="s">
        <v>34</v>
      </c>
      <c r="D81" s="17">
        <v>1110</v>
      </c>
      <c r="E81" s="15">
        <v>2284</v>
      </c>
      <c r="F81" s="16">
        <f t="shared" si="174"/>
        <v>3394</v>
      </c>
      <c r="G81" s="17">
        <v>1273</v>
      </c>
      <c r="H81" s="15">
        <v>2619</v>
      </c>
      <c r="I81" s="16">
        <f t="shared" si="175"/>
        <v>3892</v>
      </c>
      <c r="J81" s="17">
        <v>1303</v>
      </c>
      <c r="K81" s="15">
        <v>2822</v>
      </c>
      <c r="L81" s="16">
        <f t="shared" si="176"/>
        <v>4125</v>
      </c>
      <c r="M81" s="17">
        <v>1618</v>
      </c>
      <c r="N81" s="15">
        <v>3853</v>
      </c>
      <c r="O81" s="16">
        <f t="shared" si="177"/>
        <v>5471</v>
      </c>
      <c r="P81" s="17">
        <v>1519</v>
      </c>
      <c r="Q81" s="15">
        <v>3805</v>
      </c>
      <c r="R81" s="16">
        <f t="shared" si="178"/>
        <v>5324</v>
      </c>
      <c r="S81" s="17">
        <v>1565</v>
      </c>
      <c r="T81" s="15">
        <v>4068</v>
      </c>
      <c r="U81" s="16">
        <f t="shared" si="179"/>
        <v>5633</v>
      </c>
      <c r="V81" s="45">
        <v>1759</v>
      </c>
      <c r="W81" s="44">
        <v>4697</v>
      </c>
      <c r="X81" s="44"/>
      <c r="Y81" s="16">
        <f t="shared" si="125"/>
        <v>6456</v>
      </c>
      <c r="Z81" s="17">
        <v>2024</v>
      </c>
      <c r="AA81" s="15">
        <v>5260</v>
      </c>
      <c r="AB81" s="16">
        <f t="shared" si="180"/>
        <v>7284</v>
      </c>
      <c r="AC81" s="17">
        <v>2022</v>
      </c>
      <c r="AD81" s="15">
        <v>5372</v>
      </c>
      <c r="AE81" s="15"/>
      <c r="AF81" s="16">
        <f t="shared" si="126"/>
        <v>7394</v>
      </c>
      <c r="AH81" s="17">
        <f t="shared" si="127"/>
        <v>182.16216216216216</v>
      </c>
      <c r="AI81" s="15">
        <f t="shared" si="128"/>
        <v>235.20140105078809</v>
      </c>
      <c r="AJ81" s="16">
        <f t="shared" si="129"/>
        <v>217.85503830288744</v>
      </c>
    </row>
    <row r="82" spans="1:36" x14ac:dyDescent="0.25">
      <c r="A82" s="164"/>
      <c r="B82" s="131"/>
      <c r="C82" s="14" t="s">
        <v>31</v>
      </c>
      <c r="D82" s="17">
        <v>360</v>
      </c>
      <c r="E82" s="15">
        <v>863</v>
      </c>
      <c r="F82" s="16">
        <f t="shared" si="174"/>
        <v>1223</v>
      </c>
      <c r="G82" s="17">
        <v>382</v>
      </c>
      <c r="H82" s="15">
        <v>949</v>
      </c>
      <c r="I82" s="16">
        <f t="shared" si="175"/>
        <v>1331</v>
      </c>
      <c r="J82" s="17">
        <v>421</v>
      </c>
      <c r="K82" s="15">
        <v>999</v>
      </c>
      <c r="L82" s="16">
        <f t="shared" si="176"/>
        <v>1420</v>
      </c>
      <c r="M82" s="17">
        <v>444</v>
      </c>
      <c r="N82" s="15">
        <v>1074</v>
      </c>
      <c r="O82" s="16">
        <f t="shared" si="177"/>
        <v>1518</v>
      </c>
      <c r="P82" s="17">
        <v>477</v>
      </c>
      <c r="Q82" s="15">
        <v>1158</v>
      </c>
      <c r="R82" s="16">
        <f t="shared" si="178"/>
        <v>1635</v>
      </c>
      <c r="S82" s="17">
        <v>489</v>
      </c>
      <c r="T82" s="15">
        <v>1246</v>
      </c>
      <c r="U82" s="16">
        <f t="shared" si="179"/>
        <v>1735</v>
      </c>
      <c r="V82" s="45">
        <v>492</v>
      </c>
      <c r="W82" s="44">
        <v>1271</v>
      </c>
      <c r="X82" s="44"/>
      <c r="Y82" s="16">
        <f t="shared" si="125"/>
        <v>1763</v>
      </c>
      <c r="Z82" s="17">
        <v>526</v>
      </c>
      <c r="AA82" s="15">
        <v>1341</v>
      </c>
      <c r="AB82" s="16">
        <f t="shared" si="180"/>
        <v>1867</v>
      </c>
      <c r="AC82" s="17">
        <v>538</v>
      </c>
      <c r="AD82" s="15">
        <v>1315</v>
      </c>
      <c r="AE82" s="15"/>
      <c r="AF82" s="16">
        <f t="shared" si="126"/>
        <v>1853</v>
      </c>
      <c r="AH82" s="17">
        <f t="shared" si="127"/>
        <v>149.44444444444446</v>
      </c>
      <c r="AI82" s="15">
        <f t="shared" si="128"/>
        <v>152.37543453070683</v>
      </c>
      <c r="AJ82" s="16">
        <f t="shared" si="129"/>
        <v>151.51267375306622</v>
      </c>
    </row>
    <row r="83" spans="1:36" x14ac:dyDescent="0.25">
      <c r="A83" s="164"/>
      <c r="B83" s="131"/>
      <c r="C83" s="14" t="s">
        <v>35</v>
      </c>
      <c r="D83" s="17">
        <v>1883</v>
      </c>
      <c r="E83" s="15">
        <v>1424</v>
      </c>
      <c r="F83" s="16">
        <f t="shared" si="174"/>
        <v>3307</v>
      </c>
      <c r="G83" s="17">
        <v>2009</v>
      </c>
      <c r="H83" s="15">
        <v>1602</v>
      </c>
      <c r="I83" s="16">
        <f t="shared" si="175"/>
        <v>3611</v>
      </c>
      <c r="J83" s="17">
        <v>2118</v>
      </c>
      <c r="K83" s="15">
        <v>1708</v>
      </c>
      <c r="L83" s="16">
        <f t="shared" si="176"/>
        <v>3826</v>
      </c>
      <c r="M83" s="17">
        <v>2269</v>
      </c>
      <c r="N83" s="15">
        <v>1917</v>
      </c>
      <c r="O83" s="16">
        <f t="shared" si="177"/>
        <v>4186</v>
      </c>
      <c r="P83" s="17">
        <v>2274</v>
      </c>
      <c r="Q83" s="15">
        <v>2024</v>
      </c>
      <c r="R83" s="16">
        <f t="shared" si="178"/>
        <v>4298</v>
      </c>
      <c r="S83" s="17">
        <v>2399</v>
      </c>
      <c r="T83" s="15">
        <v>2094</v>
      </c>
      <c r="U83" s="16">
        <f t="shared" si="179"/>
        <v>4493</v>
      </c>
      <c r="V83" s="45">
        <v>2677</v>
      </c>
      <c r="W83" s="44">
        <v>2265</v>
      </c>
      <c r="X83" s="44"/>
      <c r="Y83" s="16">
        <f t="shared" si="125"/>
        <v>4942</v>
      </c>
      <c r="Z83" s="17">
        <v>2774</v>
      </c>
      <c r="AA83" s="15">
        <v>2323</v>
      </c>
      <c r="AB83" s="16">
        <f t="shared" si="180"/>
        <v>5097</v>
      </c>
      <c r="AC83" s="17">
        <v>2718</v>
      </c>
      <c r="AD83" s="15">
        <v>2223</v>
      </c>
      <c r="AE83" s="15"/>
      <c r="AF83" s="16">
        <f t="shared" si="126"/>
        <v>4941</v>
      </c>
      <c r="AH83" s="17">
        <f t="shared" si="127"/>
        <v>144.34413170472652</v>
      </c>
      <c r="AI83" s="15">
        <f t="shared" si="128"/>
        <v>156.10955056179776</v>
      </c>
      <c r="AJ83" s="16">
        <f t="shared" si="129"/>
        <v>149.41034169942546</v>
      </c>
    </row>
    <row r="84" spans="1:36" ht="15.75" thickBot="1" x14ac:dyDescent="0.3">
      <c r="A84" s="164"/>
      <c r="B84" s="132"/>
      <c r="C84" s="11" t="s">
        <v>5</v>
      </c>
      <c r="D84" s="20">
        <f t="shared" ref="D84:F84" si="181">SUM(D78:D83)</f>
        <v>9788</v>
      </c>
      <c r="E84" s="18">
        <f t="shared" si="181"/>
        <v>15397</v>
      </c>
      <c r="F84" s="19">
        <f t="shared" si="181"/>
        <v>25185</v>
      </c>
      <c r="G84" s="20">
        <f t="shared" ref="G84:I84" si="182">SUM(G78:G83)</f>
        <v>9839</v>
      </c>
      <c r="H84" s="18">
        <f t="shared" si="182"/>
        <v>15630</v>
      </c>
      <c r="I84" s="19">
        <f t="shared" si="182"/>
        <v>25469</v>
      </c>
      <c r="J84" s="20">
        <f t="shared" ref="J84:L84" si="183">SUM(J78:J83)</f>
        <v>9859</v>
      </c>
      <c r="K84" s="18">
        <f t="shared" si="183"/>
        <v>16067</v>
      </c>
      <c r="L84" s="19">
        <f t="shared" si="183"/>
        <v>25926</v>
      </c>
      <c r="M84" s="20">
        <f t="shared" ref="M84:O84" si="184">SUM(M78:M83)</f>
        <v>9782</v>
      </c>
      <c r="N84" s="18">
        <f t="shared" si="184"/>
        <v>16180</v>
      </c>
      <c r="O84" s="19">
        <f t="shared" si="184"/>
        <v>25962</v>
      </c>
      <c r="P84" s="20">
        <f t="shared" ref="P84:U84" si="185">SUM(P78:P83)</f>
        <v>9596</v>
      </c>
      <c r="Q84" s="18">
        <f t="shared" si="185"/>
        <v>16259</v>
      </c>
      <c r="R84" s="19">
        <f t="shared" si="185"/>
        <v>25855</v>
      </c>
      <c r="S84" s="20">
        <f t="shared" si="185"/>
        <v>9742</v>
      </c>
      <c r="T84" s="18">
        <f t="shared" si="185"/>
        <v>16658</v>
      </c>
      <c r="U84" s="19">
        <f t="shared" si="185"/>
        <v>26400</v>
      </c>
      <c r="V84" s="20">
        <f>SUM(V78:V83)</f>
        <v>10248</v>
      </c>
      <c r="W84" s="18">
        <f t="shared" ref="W84:X84" si="186">SUM(W78:W83)</f>
        <v>17618</v>
      </c>
      <c r="X84" s="18">
        <f t="shared" si="186"/>
        <v>0</v>
      </c>
      <c r="Y84" s="19">
        <f t="shared" si="125"/>
        <v>27866</v>
      </c>
      <c r="Z84" s="20">
        <f t="shared" ref="Z84:AB84" si="187">SUM(Z78:Z83)</f>
        <v>10663</v>
      </c>
      <c r="AA84" s="18">
        <f t="shared" si="187"/>
        <v>18371</v>
      </c>
      <c r="AB84" s="19">
        <f t="shared" si="187"/>
        <v>29034</v>
      </c>
      <c r="AC84" s="20">
        <f t="shared" ref="AC84:AD84" si="188">SUM(AC78:AC83)</f>
        <v>10504</v>
      </c>
      <c r="AD84" s="18">
        <f t="shared" si="188"/>
        <v>18015</v>
      </c>
      <c r="AE84" s="18">
        <f t="shared" ref="AE84" si="189">SUM(AE78:AE83)</f>
        <v>0</v>
      </c>
      <c r="AF84" s="19">
        <f t="shared" si="126"/>
        <v>28519</v>
      </c>
      <c r="AH84" s="20">
        <f t="shared" si="127"/>
        <v>107.3150796894156</v>
      </c>
      <c r="AI84" s="18">
        <f t="shared" si="128"/>
        <v>117.00331233357149</v>
      </c>
      <c r="AJ84" s="19">
        <f t="shared" si="129"/>
        <v>113.23803851498909</v>
      </c>
    </row>
    <row r="85" spans="1:36" s="12" customFormat="1" ht="15.75" thickBot="1" x14ac:dyDescent="0.3">
      <c r="A85" s="165"/>
      <c r="B85" s="134" t="s">
        <v>36</v>
      </c>
      <c r="C85" s="134"/>
      <c r="D85" s="102">
        <f t="shared" ref="D85:I85" si="190">D84+D77+D69+D72</f>
        <v>41812</v>
      </c>
      <c r="E85" s="103">
        <f t="shared" si="190"/>
        <v>50075</v>
      </c>
      <c r="F85" s="104">
        <f t="shared" si="190"/>
        <v>91887</v>
      </c>
      <c r="G85" s="102">
        <f t="shared" si="190"/>
        <v>43105</v>
      </c>
      <c r="H85" s="103">
        <f t="shared" si="190"/>
        <v>52525</v>
      </c>
      <c r="I85" s="104">
        <f t="shared" si="190"/>
        <v>95630</v>
      </c>
      <c r="J85" s="102">
        <f t="shared" ref="J85:L85" si="191">J84+J77+J69+J72</f>
        <v>43517</v>
      </c>
      <c r="K85" s="103">
        <f t="shared" si="191"/>
        <v>53892</v>
      </c>
      <c r="L85" s="104">
        <f t="shared" si="191"/>
        <v>97409</v>
      </c>
      <c r="M85" s="102">
        <f t="shared" ref="M85:O85" si="192">M84+M77+M69+M72</f>
        <v>43928</v>
      </c>
      <c r="N85" s="103">
        <f t="shared" si="192"/>
        <v>55275</v>
      </c>
      <c r="O85" s="104">
        <f t="shared" si="192"/>
        <v>99203</v>
      </c>
      <c r="P85" s="102">
        <f t="shared" ref="P85:Y85" si="193">P84+P77+P69+P72</f>
        <v>44485</v>
      </c>
      <c r="Q85" s="103">
        <f t="shared" si="193"/>
        <v>57359</v>
      </c>
      <c r="R85" s="104">
        <f t="shared" si="193"/>
        <v>101844</v>
      </c>
      <c r="S85" s="102">
        <f t="shared" si="193"/>
        <v>45613</v>
      </c>
      <c r="T85" s="103">
        <f t="shared" si="193"/>
        <v>59982</v>
      </c>
      <c r="U85" s="104">
        <f t="shared" si="193"/>
        <v>105595</v>
      </c>
      <c r="V85" s="102">
        <f>V84+V77+V69+V72</f>
        <v>48838</v>
      </c>
      <c r="W85" s="103">
        <f t="shared" si="193"/>
        <v>64641</v>
      </c>
      <c r="X85" s="103">
        <f t="shared" si="193"/>
        <v>0</v>
      </c>
      <c r="Y85" s="104">
        <f t="shared" si="193"/>
        <v>113479</v>
      </c>
      <c r="Z85" s="102">
        <f t="shared" ref="Z85:AB85" si="194">Z84+Z77+Z69+Z72</f>
        <v>50768</v>
      </c>
      <c r="AA85" s="103">
        <f t="shared" si="194"/>
        <v>67678</v>
      </c>
      <c r="AB85" s="104">
        <f t="shared" si="194"/>
        <v>118446</v>
      </c>
      <c r="AC85" s="102">
        <f t="shared" ref="AC85:AD85" si="195">AC84+AC77+AC69+AC72</f>
        <v>50342</v>
      </c>
      <c r="AD85" s="103">
        <f t="shared" si="195"/>
        <v>68228</v>
      </c>
      <c r="AE85" s="103">
        <f t="shared" ref="AE85" si="196">AE84+AE77+AE69+AE72</f>
        <v>0</v>
      </c>
      <c r="AF85" s="104">
        <f t="shared" si="126"/>
        <v>118570</v>
      </c>
      <c r="AH85" s="102">
        <f t="shared" si="127"/>
        <v>120.40084186357984</v>
      </c>
      <c r="AI85" s="103">
        <f t="shared" si="128"/>
        <v>136.25162256615079</v>
      </c>
      <c r="AJ85" s="104">
        <f t="shared" si="129"/>
        <v>129.03892824882738</v>
      </c>
    </row>
    <row r="86" spans="1:36" x14ac:dyDescent="0.25">
      <c r="A86" t="s">
        <v>62</v>
      </c>
      <c r="E86" s="108">
        <f>E85/F85</f>
        <v>0.54496283478620478</v>
      </c>
      <c r="F86" s="108"/>
      <c r="G86" s="108"/>
      <c r="H86" s="108">
        <f>H85/I85</f>
        <v>0.54925232667572932</v>
      </c>
      <c r="I86" s="108"/>
      <c r="J86" s="108"/>
      <c r="K86" s="108">
        <f>K85/L85</f>
        <v>0.55325483271566278</v>
      </c>
      <c r="L86" s="108"/>
      <c r="M86" s="108"/>
      <c r="N86" s="108">
        <f>N85/O85</f>
        <v>0.55719081076177135</v>
      </c>
      <c r="O86" s="108"/>
      <c r="Q86" s="108">
        <f>Q85/R85</f>
        <v>0.56320450885668272</v>
      </c>
      <c r="T86" s="108">
        <f>T85/U85</f>
        <v>0.56803825938728159</v>
      </c>
      <c r="W86" s="108">
        <f>W85/Y85</f>
        <v>0.56962962310207177</v>
      </c>
      <c r="AA86" s="108">
        <f>AA85/AB85</f>
        <v>0.57138273981392362</v>
      </c>
      <c r="AD86" s="108">
        <f>AD85/AF85</f>
        <v>0.57542380028675044</v>
      </c>
      <c r="AE86" s="108"/>
    </row>
    <row r="88" spans="1:36" ht="18.75" x14ac:dyDescent="0.3">
      <c r="A88" s="2" t="s">
        <v>44</v>
      </c>
      <c r="D88" s="27"/>
      <c r="E88" s="27"/>
      <c r="F88" s="27"/>
    </row>
    <row r="89" spans="1:36" x14ac:dyDescent="0.25">
      <c r="A89" s="3"/>
      <c r="D89" s="27"/>
      <c r="E89" s="27"/>
      <c r="F89" s="27"/>
    </row>
    <row r="90" spans="1:36" x14ac:dyDescent="0.25">
      <c r="D90" s="27"/>
      <c r="E90" s="27"/>
      <c r="F90" s="27"/>
    </row>
    <row r="91" spans="1:36" ht="15.75" thickBot="1" x14ac:dyDescent="0.3">
      <c r="D91" s="128" t="s">
        <v>15</v>
      </c>
      <c r="E91" s="128"/>
      <c r="F91" s="129"/>
      <c r="G91" s="128" t="s">
        <v>45</v>
      </c>
      <c r="H91" s="128"/>
      <c r="I91" s="129"/>
      <c r="J91" s="128" t="s">
        <v>51</v>
      </c>
      <c r="K91" s="128"/>
      <c r="L91" s="129"/>
      <c r="M91" s="128" t="s">
        <v>54</v>
      </c>
      <c r="N91" s="128"/>
      <c r="O91" s="129"/>
      <c r="P91" s="128" t="s">
        <v>60</v>
      </c>
      <c r="Q91" s="128"/>
      <c r="R91" s="129"/>
      <c r="S91" s="128" t="s">
        <v>63</v>
      </c>
      <c r="T91" s="128"/>
      <c r="U91" s="129"/>
      <c r="V91" s="125" t="s">
        <v>64</v>
      </c>
      <c r="W91" s="126"/>
      <c r="X91" s="126"/>
      <c r="Y91" s="127"/>
      <c r="Z91" s="128" t="s">
        <v>66</v>
      </c>
      <c r="AA91" s="128"/>
      <c r="AB91" s="129"/>
      <c r="AC91" s="128" t="s">
        <v>72</v>
      </c>
      <c r="AD91" s="128"/>
      <c r="AE91" s="128"/>
      <c r="AF91" s="129"/>
      <c r="AH91" s="125" t="s">
        <v>67</v>
      </c>
      <c r="AI91" s="126"/>
      <c r="AJ91" s="127"/>
    </row>
    <row r="92" spans="1:36" ht="15.75" thickBot="1" x14ac:dyDescent="0.3">
      <c r="A92" s="4"/>
      <c r="B92" s="5"/>
      <c r="C92" s="9"/>
      <c r="D92" s="35" t="s">
        <v>12</v>
      </c>
      <c r="E92" s="35" t="s">
        <v>13</v>
      </c>
      <c r="F92" s="36" t="s">
        <v>14</v>
      </c>
      <c r="G92" s="35" t="s">
        <v>12</v>
      </c>
      <c r="H92" s="35" t="s">
        <v>13</v>
      </c>
      <c r="I92" s="36" t="s">
        <v>14</v>
      </c>
      <c r="J92" s="35" t="s">
        <v>12</v>
      </c>
      <c r="K92" s="35" t="s">
        <v>13</v>
      </c>
      <c r="L92" s="36" t="s">
        <v>14</v>
      </c>
      <c r="M92" s="35" t="s">
        <v>12</v>
      </c>
      <c r="N92" s="35" t="s">
        <v>13</v>
      </c>
      <c r="O92" s="36" t="s">
        <v>14</v>
      </c>
      <c r="P92" s="35" t="s">
        <v>12</v>
      </c>
      <c r="Q92" s="35" t="s">
        <v>13</v>
      </c>
      <c r="R92" s="36" t="s">
        <v>14</v>
      </c>
      <c r="S92" s="35" t="s">
        <v>12</v>
      </c>
      <c r="T92" s="35" t="s">
        <v>13</v>
      </c>
      <c r="U92" s="36" t="s">
        <v>14</v>
      </c>
      <c r="V92" s="8" t="s">
        <v>12</v>
      </c>
      <c r="W92" s="6" t="s">
        <v>13</v>
      </c>
      <c r="X92" s="6" t="s">
        <v>65</v>
      </c>
      <c r="Y92" s="7" t="s">
        <v>14</v>
      </c>
      <c r="Z92" s="35" t="s">
        <v>12</v>
      </c>
      <c r="AA92" s="35" t="s">
        <v>13</v>
      </c>
      <c r="AB92" s="36" t="s">
        <v>14</v>
      </c>
      <c r="AC92" s="35" t="s">
        <v>12</v>
      </c>
      <c r="AD92" s="35" t="s">
        <v>13</v>
      </c>
      <c r="AE92" s="35" t="s">
        <v>65</v>
      </c>
      <c r="AF92" s="36" t="s">
        <v>14</v>
      </c>
      <c r="AH92" s="8" t="s">
        <v>12</v>
      </c>
      <c r="AI92" s="6" t="s">
        <v>13</v>
      </c>
      <c r="AJ92" s="7" t="s">
        <v>14</v>
      </c>
    </row>
    <row r="93" spans="1:36" ht="16.5" thickBot="1" x14ac:dyDescent="0.3">
      <c r="A93" s="138" t="s">
        <v>43</v>
      </c>
      <c r="B93" s="139"/>
      <c r="C93" s="140"/>
      <c r="D93" s="34">
        <f t="shared" ref="D93:L93" si="197">D85+D51</f>
        <v>80755</v>
      </c>
      <c r="E93" s="34">
        <f t="shared" si="197"/>
        <v>106435</v>
      </c>
      <c r="F93" s="37">
        <f t="shared" si="197"/>
        <v>187190</v>
      </c>
      <c r="G93" s="34">
        <f t="shared" si="197"/>
        <v>82978</v>
      </c>
      <c r="H93" s="34">
        <f t="shared" si="197"/>
        <v>108726</v>
      </c>
      <c r="I93" s="37">
        <f t="shared" si="197"/>
        <v>191704</v>
      </c>
      <c r="J93" s="34">
        <f t="shared" si="197"/>
        <v>84007</v>
      </c>
      <c r="K93" s="34">
        <f t="shared" si="197"/>
        <v>110008</v>
      </c>
      <c r="L93" s="37">
        <f t="shared" si="197"/>
        <v>194015</v>
      </c>
      <c r="M93" s="34">
        <f t="shared" ref="M93:N93" si="198">M85+M51</f>
        <v>85795</v>
      </c>
      <c r="N93" s="34">
        <f t="shared" si="198"/>
        <v>112293</v>
      </c>
      <c r="O93" s="37">
        <f>O85+O51</f>
        <v>198088</v>
      </c>
      <c r="P93" s="34">
        <f t="shared" ref="P93:Q93" si="199">P85+P51</f>
        <v>86352</v>
      </c>
      <c r="Q93" s="34">
        <f t="shared" si="199"/>
        <v>114589</v>
      </c>
      <c r="R93" s="37">
        <f>R85+R51</f>
        <v>200941</v>
      </c>
      <c r="S93" s="34">
        <f t="shared" ref="S93:T93" si="200">S85+S51</f>
        <v>87800</v>
      </c>
      <c r="T93" s="34">
        <f t="shared" si="200"/>
        <v>117775</v>
      </c>
      <c r="U93" s="37">
        <f>U85+U51</f>
        <v>205575</v>
      </c>
      <c r="V93" s="109">
        <f>V85+V51</f>
        <v>92658</v>
      </c>
      <c r="W93" s="34">
        <f t="shared" ref="W93:X93" si="201">W85+W51</f>
        <v>123586</v>
      </c>
      <c r="X93" s="34">
        <f t="shared" si="201"/>
        <v>2</v>
      </c>
      <c r="Y93" s="110">
        <f>SUM(V93:X93)</f>
        <v>216246</v>
      </c>
      <c r="Z93" s="34">
        <f t="shared" ref="Z93:AA93" si="202">Z85+Z51</f>
        <v>96079</v>
      </c>
      <c r="AA93" s="34">
        <f t="shared" si="202"/>
        <v>128200</v>
      </c>
      <c r="AB93" s="37">
        <f>AB85+AB51</f>
        <v>224279</v>
      </c>
      <c r="AC93" s="34">
        <f t="shared" ref="AC93:AE93" si="203">AC85+AC51</f>
        <v>94833</v>
      </c>
      <c r="AD93" s="34">
        <f t="shared" si="203"/>
        <v>127459</v>
      </c>
      <c r="AE93" s="34">
        <f t="shared" si="203"/>
        <v>3</v>
      </c>
      <c r="AF93" s="37">
        <f>SUM(AC93:AE93)</f>
        <v>222295</v>
      </c>
      <c r="AH93" s="102">
        <f>AC93/D93*100</f>
        <v>117.43297628629806</v>
      </c>
      <c r="AI93" s="103">
        <f>AD93/E93*100</f>
        <v>119.75290083149339</v>
      </c>
      <c r="AJ93" s="104">
        <f>AF93/F93*100</f>
        <v>118.75367273892836</v>
      </c>
    </row>
    <row r="96" spans="1:36" ht="18.75" x14ac:dyDescent="0.3">
      <c r="A96" s="2" t="s">
        <v>37</v>
      </c>
    </row>
    <row r="97" spans="1:32" x14ac:dyDescent="0.25">
      <c r="A97" s="3" t="s">
        <v>61</v>
      </c>
    </row>
    <row r="99" spans="1:32" ht="15.75" thickBot="1" x14ac:dyDescent="0.3">
      <c r="D99" s="125" t="s">
        <v>15</v>
      </c>
      <c r="E99" s="126"/>
      <c r="F99" s="127"/>
      <c r="G99" s="125" t="s">
        <v>45</v>
      </c>
      <c r="H99" s="126"/>
      <c r="I99" s="127"/>
      <c r="J99" s="125" t="s">
        <v>51</v>
      </c>
      <c r="K99" s="126"/>
      <c r="L99" s="127"/>
      <c r="M99" s="125" t="s">
        <v>54</v>
      </c>
      <c r="N99" s="126"/>
      <c r="O99" s="127"/>
      <c r="P99" s="125" t="s">
        <v>60</v>
      </c>
      <c r="Q99" s="126"/>
      <c r="R99" s="127"/>
      <c r="S99" s="125" t="s">
        <v>63</v>
      </c>
      <c r="T99" s="126"/>
      <c r="U99" s="127"/>
      <c r="V99" s="125" t="s">
        <v>64</v>
      </c>
      <c r="W99" s="126"/>
      <c r="X99" s="126"/>
      <c r="Y99" s="127"/>
      <c r="Z99" s="125" t="s">
        <v>66</v>
      </c>
      <c r="AA99" s="126"/>
      <c r="AB99" s="127"/>
      <c r="AC99" s="125" t="s">
        <v>72</v>
      </c>
      <c r="AD99" s="126"/>
      <c r="AE99" s="126"/>
      <c r="AF99" s="127"/>
    </row>
    <row r="100" spans="1:32" ht="15.75" thickBot="1" x14ac:dyDescent="0.3">
      <c r="A100" s="4"/>
      <c r="B100" s="5"/>
      <c r="C100" s="9"/>
      <c r="D100" s="8" t="s">
        <v>12</v>
      </c>
      <c r="E100" s="6" t="s">
        <v>13</v>
      </c>
      <c r="F100" s="7" t="s">
        <v>14</v>
      </c>
      <c r="G100" s="8" t="s">
        <v>12</v>
      </c>
      <c r="H100" s="6" t="s">
        <v>13</v>
      </c>
      <c r="I100" s="7" t="s">
        <v>14</v>
      </c>
      <c r="J100" s="8" t="s">
        <v>12</v>
      </c>
      <c r="K100" s="6" t="s">
        <v>13</v>
      </c>
      <c r="L100" s="7" t="s">
        <v>14</v>
      </c>
      <c r="M100" s="8" t="s">
        <v>12</v>
      </c>
      <c r="N100" s="6" t="s">
        <v>13</v>
      </c>
      <c r="O100" s="7" t="s">
        <v>14</v>
      </c>
      <c r="P100" s="8" t="s">
        <v>12</v>
      </c>
      <c r="Q100" s="6" t="s">
        <v>13</v>
      </c>
      <c r="R100" s="7" t="s">
        <v>14</v>
      </c>
      <c r="S100" s="8" t="s">
        <v>12</v>
      </c>
      <c r="T100" s="6" t="s">
        <v>13</v>
      </c>
      <c r="U100" s="7" t="s">
        <v>14</v>
      </c>
      <c r="V100" s="8" t="s">
        <v>12</v>
      </c>
      <c r="W100" s="6" t="s">
        <v>13</v>
      </c>
      <c r="X100" s="6" t="s">
        <v>65</v>
      </c>
      <c r="Y100" s="7" t="s">
        <v>14</v>
      </c>
      <c r="Z100" s="8" t="s">
        <v>12</v>
      </c>
      <c r="AA100" s="6" t="s">
        <v>13</v>
      </c>
      <c r="AB100" s="7" t="s">
        <v>14</v>
      </c>
      <c r="AC100" s="8" t="s">
        <v>12</v>
      </c>
      <c r="AD100" s="6" t="s">
        <v>13</v>
      </c>
      <c r="AE100" s="6" t="s">
        <v>65</v>
      </c>
      <c r="AF100" s="7" t="s">
        <v>14</v>
      </c>
    </row>
    <row r="101" spans="1:32" ht="15.75" thickBot="1" x14ac:dyDescent="0.3">
      <c r="A101" s="141" t="s">
        <v>38</v>
      </c>
      <c r="B101" s="144" t="s">
        <v>1</v>
      </c>
      <c r="C101" s="144"/>
      <c r="D101" s="30">
        <v>17436</v>
      </c>
      <c r="E101" s="28">
        <v>17926</v>
      </c>
      <c r="F101" s="29">
        <f t="shared" ref="F101:F102" si="204">SUM(D101:E101)</f>
        <v>35362</v>
      </c>
      <c r="G101" s="30">
        <v>17155</v>
      </c>
      <c r="H101" s="28">
        <v>17019</v>
      </c>
      <c r="I101" s="29">
        <f>SUM(G101:H101)</f>
        <v>34174</v>
      </c>
      <c r="J101" s="30">
        <v>16868</v>
      </c>
      <c r="K101" s="28">
        <v>16919</v>
      </c>
      <c r="L101" s="29">
        <f>SUM(J101:K101)</f>
        <v>33787</v>
      </c>
      <c r="M101" s="30">
        <v>15912</v>
      </c>
      <c r="N101" s="28">
        <v>15427</v>
      </c>
      <c r="O101" s="29">
        <f>SUM(M101:N101)</f>
        <v>31339</v>
      </c>
      <c r="P101" s="30">
        <v>15502.309218826269</v>
      </c>
      <c r="Q101" s="28">
        <v>15647.690781173729</v>
      </c>
      <c r="R101" s="29">
        <f>SUM(P101:Q101)</f>
        <v>31150</v>
      </c>
      <c r="S101" s="30">
        <v>15984</v>
      </c>
      <c r="T101" s="28">
        <v>16182</v>
      </c>
      <c r="U101" s="29">
        <f>SUM(S101:T101)</f>
        <v>32166</v>
      </c>
      <c r="V101" s="30">
        <v>14566</v>
      </c>
      <c r="W101" s="28">
        <v>15300</v>
      </c>
      <c r="X101" s="28"/>
      <c r="Y101" s="29">
        <f>SUM(V101:X101)</f>
        <v>29866</v>
      </c>
      <c r="Z101" s="30">
        <v>13801</v>
      </c>
      <c r="AA101" s="28">
        <v>14440</v>
      </c>
      <c r="AB101" s="29">
        <f>SUM(Z101:AA101)</f>
        <v>28241</v>
      </c>
      <c r="AC101" s="30">
        <v>13920</v>
      </c>
      <c r="AD101" s="28">
        <v>14775</v>
      </c>
      <c r="AE101" s="28"/>
      <c r="AF101" s="29">
        <f>SUM(AC101:AD101)</f>
        <v>28695</v>
      </c>
    </row>
    <row r="102" spans="1:32" ht="15.75" thickBot="1" x14ac:dyDescent="0.3">
      <c r="A102" s="142"/>
      <c r="B102" s="144" t="s">
        <v>4</v>
      </c>
      <c r="C102" s="144"/>
      <c r="D102" s="30">
        <v>409</v>
      </c>
      <c r="E102" s="28">
        <v>40</v>
      </c>
      <c r="F102" s="29">
        <f t="shared" si="204"/>
        <v>449</v>
      </c>
      <c r="G102" s="30">
        <v>310</v>
      </c>
      <c r="H102" s="28">
        <v>41</v>
      </c>
      <c r="I102" s="29">
        <f>SUM(G102:H102)</f>
        <v>351</v>
      </c>
      <c r="J102" s="30">
        <v>293</v>
      </c>
      <c r="K102" s="28">
        <v>37</v>
      </c>
      <c r="L102" s="29">
        <f>SUM(J102:K102)</f>
        <v>330</v>
      </c>
      <c r="M102" s="30">
        <v>323</v>
      </c>
      <c r="N102" s="28">
        <v>39</v>
      </c>
      <c r="O102" s="29">
        <f>SUM(M102:N102)</f>
        <v>362</v>
      </c>
      <c r="P102" s="30">
        <v>299.99663500032523</v>
      </c>
      <c r="Q102" s="28">
        <v>48.003364999674766</v>
      </c>
      <c r="R102" s="29">
        <f>SUM(P102:Q102)</f>
        <v>348</v>
      </c>
      <c r="S102" s="30">
        <v>241</v>
      </c>
      <c r="T102" s="28">
        <v>30</v>
      </c>
      <c r="U102" s="29">
        <f>SUM(S102:T102)</f>
        <v>271</v>
      </c>
      <c r="V102" s="30">
        <f>107+35+117</f>
        <v>259</v>
      </c>
      <c r="W102" s="28">
        <f>14+26</f>
        <v>40</v>
      </c>
      <c r="X102" s="28"/>
      <c r="Y102" s="29">
        <f t="shared" ref="Y102:Y103" si="205">SUM(V102:X102)</f>
        <v>299</v>
      </c>
      <c r="Z102" s="30">
        <v>278</v>
      </c>
      <c r="AA102" s="28">
        <v>41</v>
      </c>
      <c r="AB102" s="29">
        <f>SUM(Z102:AA102)</f>
        <v>319</v>
      </c>
      <c r="AC102" s="30">
        <v>285</v>
      </c>
      <c r="AD102" s="28">
        <v>55</v>
      </c>
      <c r="AE102" s="28"/>
      <c r="AF102" s="29">
        <f>SUM(AC102:AD102)</f>
        <v>340</v>
      </c>
    </row>
    <row r="103" spans="1:32" ht="15.75" thickBot="1" x14ac:dyDescent="0.3">
      <c r="A103" s="143"/>
      <c r="B103" s="145" t="s">
        <v>39</v>
      </c>
      <c r="C103" s="146"/>
      <c r="D103" s="105">
        <f t="shared" ref="D103:F103" si="206">SUM(D101:D102)</f>
        <v>17845</v>
      </c>
      <c r="E103" s="106">
        <f t="shared" si="206"/>
        <v>17966</v>
      </c>
      <c r="F103" s="107">
        <f t="shared" si="206"/>
        <v>35811</v>
      </c>
      <c r="G103" s="105">
        <f t="shared" ref="G103:I103" si="207">SUM(G101:G102)</f>
        <v>17465</v>
      </c>
      <c r="H103" s="106">
        <f t="shared" si="207"/>
        <v>17060</v>
      </c>
      <c r="I103" s="107">
        <f t="shared" si="207"/>
        <v>34525</v>
      </c>
      <c r="J103" s="105">
        <f t="shared" ref="J103:L103" si="208">SUM(J101:J102)</f>
        <v>17161</v>
      </c>
      <c r="K103" s="106">
        <f t="shared" si="208"/>
        <v>16956</v>
      </c>
      <c r="L103" s="107">
        <f t="shared" si="208"/>
        <v>34117</v>
      </c>
      <c r="M103" s="105">
        <f t="shared" ref="M103:O103" si="209">SUM(M101:M102)</f>
        <v>16235</v>
      </c>
      <c r="N103" s="106">
        <f t="shared" si="209"/>
        <v>15466</v>
      </c>
      <c r="O103" s="107">
        <f t="shared" si="209"/>
        <v>31701</v>
      </c>
      <c r="P103" s="105">
        <f t="shared" ref="P103:R103" si="210">SUM(P101:P102)</f>
        <v>15802.305853826594</v>
      </c>
      <c r="Q103" s="106">
        <f t="shared" si="210"/>
        <v>15695.694146173404</v>
      </c>
      <c r="R103" s="107">
        <f t="shared" si="210"/>
        <v>31498</v>
      </c>
      <c r="S103" s="105">
        <f t="shared" ref="S103:U103" si="211">SUM(S101:S102)</f>
        <v>16225</v>
      </c>
      <c r="T103" s="106">
        <f t="shared" si="211"/>
        <v>16212</v>
      </c>
      <c r="U103" s="107">
        <f t="shared" si="211"/>
        <v>32437</v>
      </c>
      <c r="V103" s="116">
        <f>SUM(V101:V102)</f>
        <v>14825</v>
      </c>
      <c r="W103" s="117">
        <f t="shared" ref="W103:X103" si="212">SUM(W101:W102)</f>
        <v>15340</v>
      </c>
      <c r="X103" s="117">
        <f t="shared" si="212"/>
        <v>0</v>
      </c>
      <c r="Y103" s="118">
        <f t="shared" si="205"/>
        <v>30165</v>
      </c>
      <c r="Z103" s="105">
        <f t="shared" ref="Z103:AB103" si="213">SUM(Z101:Z102)</f>
        <v>14079</v>
      </c>
      <c r="AA103" s="106">
        <f t="shared" si="213"/>
        <v>14481</v>
      </c>
      <c r="AB103" s="107">
        <f t="shared" si="213"/>
        <v>28560</v>
      </c>
      <c r="AC103" s="105">
        <f t="shared" ref="AC103:AF103" si="214">SUM(AC101:AC102)</f>
        <v>14205</v>
      </c>
      <c r="AD103" s="106">
        <f t="shared" si="214"/>
        <v>14830</v>
      </c>
      <c r="AE103" s="106"/>
      <c r="AF103" s="107">
        <f t="shared" si="214"/>
        <v>29035</v>
      </c>
    </row>
    <row r="104" spans="1:32" x14ac:dyDescent="0.25">
      <c r="D104" s="27"/>
      <c r="E104" s="27"/>
      <c r="F104" s="27"/>
    </row>
    <row r="105" spans="1:32" x14ac:dyDescent="0.25">
      <c r="D105" s="27"/>
      <c r="E105" s="27"/>
      <c r="F105" s="27"/>
    </row>
    <row r="106" spans="1:32" ht="18.75" x14ac:dyDescent="0.3">
      <c r="A106" s="2" t="s">
        <v>40</v>
      </c>
      <c r="D106" s="27"/>
      <c r="E106" s="27"/>
      <c r="F106" s="27"/>
    </row>
    <row r="107" spans="1:32" x14ac:dyDescent="0.25">
      <c r="A107" s="3"/>
      <c r="D107" s="27"/>
      <c r="E107" s="27"/>
      <c r="F107" s="27"/>
    </row>
    <row r="108" spans="1:32" x14ac:dyDescent="0.25">
      <c r="D108" s="27"/>
      <c r="E108" s="27"/>
      <c r="F108" s="27"/>
    </row>
    <row r="109" spans="1:32" ht="15.75" thickBot="1" x14ac:dyDescent="0.3">
      <c r="D109" s="128" t="s">
        <v>15</v>
      </c>
      <c r="E109" s="128"/>
      <c r="F109" s="129"/>
      <c r="G109" s="128" t="s">
        <v>45</v>
      </c>
      <c r="H109" s="128"/>
      <c r="I109" s="129"/>
      <c r="J109" s="128" t="s">
        <v>51</v>
      </c>
      <c r="K109" s="128"/>
      <c r="L109" s="129"/>
      <c r="M109" s="128" t="s">
        <v>54</v>
      </c>
      <c r="N109" s="128"/>
      <c r="O109" s="129"/>
      <c r="P109" s="128" t="s">
        <v>60</v>
      </c>
      <c r="Q109" s="128"/>
      <c r="R109" s="129"/>
      <c r="S109" s="128" t="s">
        <v>63</v>
      </c>
      <c r="T109" s="128"/>
      <c r="U109" s="129"/>
      <c r="V109" s="125" t="s">
        <v>64</v>
      </c>
      <c r="W109" s="126"/>
      <c r="X109" s="126"/>
      <c r="Y109" s="127"/>
      <c r="Z109" s="128" t="s">
        <v>66</v>
      </c>
      <c r="AA109" s="128"/>
      <c r="AB109" s="129"/>
      <c r="AC109" s="128" t="s">
        <v>72</v>
      </c>
      <c r="AD109" s="128"/>
      <c r="AE109" s="128"/>
      <c r="AF109" s="129"/>
    </row>
    <row r="110" spans="1:32" ht="15.75" thickBot="1" x14ac:dyDescent="0.3">
      <c r="A110" s="4"/>
      <c r="B110" s="5"/>
      <c r="C110" s="9"/>
      <c r="D110" s="35" t="s">
        <v>12</v>
      </c>
      <c r="E110" s="35" t="s">
        <v>13</v>
      </c>
      <c r="F110" s="36" t="s">
        <v>14</v>
      </c>
      <c r="G110" s="35" t="s">
        <v>12</v>
      </c>
      <c r="H110" s="35" t="s">
        <v>13</v>
      </c>
      <c r="I110" s="36" t="s">
        <v>14</v>
      </c>
      <c r="J110" s="35" t="s">
        <v>12</v>
      </c>
      <c r="K110" s="35" t="s">
        <v>13</v>
      </c>
      <c r="L110" s="36" t="s">
        <v>14</v>
      </c>
      <c r="M110" s="35" t="s">
        <v>12</v>
      </c>
      <c r="N110" s="35" t="s">
        <v>13</v>
      </c>
      <c r="O110" s="36" t="s">
        <v>14</v>
      </c>
      <c r="P110" s="35" t="s">
        <v>12</v>
      </c>
      <c r="Q110" s="35" t="s">
        <v>13</v>
      </c>
      <c r="R110" s="36" t="s">
        <v>14</v>
      </c>
      <c r="S110" s="35" t="s">
        <v>12</v>
      </c>
      <c r="T110" s="35" t="s">
        <v>13</v>
      </c>
      <c r="U110" s="36" t="s">
        <v>14</v>
      </c>
      <c r="V110" s="8" t="s">
        <v>12</v>
      </c>
      <c r="W110" s="6" t="s">
        <v>13</v>
      </c>
      <c r="X110" s="6" t="s">
        <v>65</v>
      </c>
      <c r="Y110" s="7" t="s">
        <v>14</v>
      </c>
      <c r="Z110" s="35" t="s">
        <v>12</v>
      </c>
      <c r="AA110" s="35" t="s">
        <v>13</v>
      </c>
      <c r="AB110" s="36" t="s">
        <v>14</v>
      </c>
      <c r="AC110" s="35" t="s">
        <v>12</v>
      </c>
      <c r="AD110" s="35" t="s">
        <v>13</v>
      </c>
      <c r="AE110" s="35" t="s">
        <v>65</v>
      </c>
      <c r="AF110" s="36" t="s">
        <v>14</v>
      </c>
    </row>
    <row r="111" spans="1:32" ht="16.5" thickBot="1" x14ac:dyDescent="0.3">
      <c r="A111" s="135" t="s">
        <v>41</v>
      </c>
      <c r="B111" s="136"/>
      <c r="C111" s="137"/>
      <c r="D111" s="34">
        <f>D103+D85+D51</f>
        <v>98600</v>
      </c>
      <c r="E111" s="34">
        <f>E103+E85+E51</f>
        <v>124401</v>
      </c>
      <c r="F111" s="37">
        <f>F103+F85+F51</f>
        <v>223001</v>
      </c>
      <c r="G111" s="34">
        <f>G103+G93</f>
        <v>100443</v>
      </c>
      <c r="H111" s="34">
        <f t="shared" ref="H111:I111" si="215">H103+H93</f>
        <v>125786</v>
      </c>
      <c r="I111" s="37">
        <f t="shared" si="215"/>
        <v>226229</v>
      </c>
      <c r="J111" s="34">
        <f>J103+J93</f>
        <v>101168</v>
      </c>
      <c r="K111" s="34">
        <f t="shared" ref="K111:L111" si="216">K103+K93</f>
        <v>126964</v>
      </c>
      <c r="L111" s="37">
        <f t="shared" si="216"/>
        <v>228132</v>
      </c>
      <c r="M111" s="34">
        <f>M103+M93</f>
        <v>102030</v>
      </c>
      <c r="N111" s="34">
        <f t="shared" ref="N111:O111" si="217">N103+N93</f>
        <v>127759</v>
      </c>
      <c r="O111" s="37">
        <f t="shared" si="217"/>
        <v>229789</v>
      </c>
      <c r="P111" s="34">
        <f>P103+P93</f>
        <v>102154.30585382659</v>
      </c>
      <c r="Q111" s="34">
        <f t="shared" ref="Q111:R111" si="218">Q103+Q93</f>
        <v>130284.69414617341</v>
      </c>
      <c r="R111" s="37">
        <f t="shared" si="218"/>
        <v>232439</v>
      </c>
      <c r="S111" s="34">
        <f>S103+S93</f>
        <v>104025</v>
      </c>
      <c r="T111" s="34">
        <f t="shared" ref="T111:U111" si="219">T103+T93</f>
        <v>133987</v>
      </c>
      <c r="U111" s="37">
        <f t="shared" si="219"/>
        <v>238012</v>
      </c>
      <c r="V111" s="109">
        <f>V93+V103</f>
        <v>107483</v>
      </c>
      <c r="W111" s="34">
        <f t="shared" ref="W111:Y111" si="220">W93+W103</f>
        <v>138926</v>
      </c>
      <c r="X111" s="34">
        <f t="shared" si="220"/>
        <v>2</v>
      </c>
      <c r="Y111" s="110">
        <f t="shared" si="220"/>
        <v>246411</v>
      </c>
      <c r="Z111" s="34">
        <f>Z103+Z93</f>
        <v>110158</v>
      </c>
      <c r="AA111" s="34">
        <f t="shared" ref="AA111:AB111" si="221">AA103+AA93</f>
        <v>142681</v>
      </c>
      <c r="AB111" s="37">
        <f t="shared" si="221"/>
        <v>252839</v>
      </c>
      <c r="AC111" s="34">
        <f>AC103+AC93</f>
        <v>109038</v>
      </c>
      <c r="AD111" s="34">
        <f t="shared" ref="AD111:AF111" si="222">AD103+AD93</f>
        <v>142289</v>
      </c>
      <c r="AE111" s="34">
        <f t="shared" si="222"/>
        <v>3</v>
      </c>
      <c r="AF111" s="37">
        <f t="shared" si="222"/>
        <v>251330</v>
      </c>
    </row>
  </sheetData>
  <mergeCells count="73">
    <mergeCell ref="Z6:AB6"/>
    <mergeCell ref="Z57:AB57"/>
    <mergeCell ref="Z91:AB91"/>
    <mergeCell ref="Z99:AB99"/>
    <mergeCell ref="Z109:AB109"/>
    <mergeCell ref="S99:U99"/>
    <mergeCell ref="S109:U109"/>
    <mergeCell ref="P109:R109"/>
    <mergeCell ref="M109:O109"/>
    <mergeCell ref="A49:A51"/>
    <mergeCell ref="A59:A85"/>
    <mergeCell ref="B49:C49"/>
    <mergeCell ref="B50:C50"/>
    <mergeCell ref="B51:C51"/>
    <mergeCell ref="J109:L109"/>
    <mergeCell ref="D56:L56"/>
    <mergeCell ref="J57:L57"/>
    <mergeCell ref="J91:L91"/>
    <mergeCell ref="A33:A44"/>
    <mergeCell ref="B8:B20"/>
    <mergeCell ref="B21:B31"/>
    <mergeCell ref="B32:C32"/>
    <mergeCell ref="A8:A32"/>
    <mergeCell ref="B33:B36"/>
    <mergeCell ref="B37:B43"/>
    <mergeCell ref="B44:C44"/>
    <mergeCell ref="A111:C111"/>
    <mergeCell ref="D91:F91"/>
    <mergeCell ref="A93:C93"/>
    <mergeCell ref="D99:F99"/>
    <mergeCell ref="A101:A103"/>
    <mergeCell ref="B101:C101"/>
    <mergeCell ref="B102:C102"/>
    <mergeCell ref="B103:C103"/>
    <mergeCell ref="D109:F109"/>
    <mergeCell ref="D6:F6"/>
    <mergeCell ref="G109:I109"/>
    <mergeCell ref="B59:B69"/>
    <mergeCell ref="B73:B77"/>
    <mergeCell ref="D57:F57"/>
    <mergeCell ref="B70:B72"/>
    <mergeCell ref="B78:B84"/>
    <mergeCell ref="B85:C85"/>
    <mergeCell ref="G6:I6"/>
    <mergeCell ref="G57:I57"/>
    <mergeCell ref="G91:I91"/>
    <mergeCell ref="G99:I99"/>
    <mergeCell ref="S6:U6"/>
    <mergeCell ref="P6:R6"/>
    <mergeCell ref="M6:O6"/>
    <mergeCell ref="AH6:AJ6"/>
    <mergeCell ref="J99:L99"/>
    <mergeCell ref="M99:O99"/>
    <mergeCell ref="M57:O57"/>
    <mergeCell ref="M91:O91"/>
    <mergeCell ref="P99:R99"/>
    <mergeCell ref="P57:R57"/>
    <mergeCell ref="AH57:AJ57"/>
    <mergeCell ref="P91:R91"/>
    <mergeCell ref="S57:U57"/>
    <mergeCell ref="S91:U91"/>
    <mergeCell ref="J6:L6"/>
    <mergeCell ref="V6:Y6"/>
    <mergeCell ref="V57:Y57"/>
    <mergeCell ref="V91:Y91"/>
    <mergeCell ref="V99:Y99"/>
    <mergeCell ref="AH91:AJ91"/>
    <mergeCell ref="V109:Y109"/>
    <mergeCell ref="AC6:AF6"/>
    <mergeCell ref="AC57:AF57"/>
    <mergeCell ref="AC91:AF91"/>
    <mergeCell ref="AC99:AF99"/>
    <mergeCell ref="AC109:AF109"/>
  </mergeCells>
  <pageMargins left="0.7" right="0.7" top="0.75" bottom="0.75" header="0.3" footer="0.3"/>
  <pageSetup paperSize="9" scale="40" orientation="landscape" r:id="rId1"/>
  <rowBreaks count="2" manualBreakCount="2">
    <brk id="53" max="16383" man="1"/>
    <brk id="95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F2D3-153B-4E68-B147-591A831FF776}">
  <sheetPr>
    <tabColor rgb="FFFFC000"/>
  </sheetPr>
  <dimension ref="A1:AD90"/>
  <sheetViews>
    <sheetView workbookViewId="0">
      <pane xSplit="3" ySplit="7" topLeftCell="N8" activePane="bottomRight" state="frozen"/>
      <selection pane="topRight" activeCell="D1" sqref="D1"/>
      <selection pane="bottomLeft" activeCell="A8" sqref="A8"/>
      <selection pane="bottomRight" activeCell="AC12" sqref="AC12"/>
    </sheetView>
  </sheetViews>
  <sheetFormatPr baseColWidth="10" defaultRowHeight="15" x14ac:dyDescent="0.25"/>
  <cols>
    <col min="2" max="2" width="12.5703125" customWidth="1"/>
    <col min="3" max="3" width="38.7109375" customWidth="1"/>
    <col min="4" max="6" width="12.42578125" bestFit="1" customWidth="1"/>
    <col min="7" max="7" width="12.28515625" bestFit="1" customWidth="1"/>
    <col min="8" max="9" width="11.85546875" bestFit="1" customWidth="1"/>
    <col min="10" max="15" width="11.85546875" customWidth="1"/>
  </cols>
  <sheetData>
    <row r="1" spans="1:30" ht="18.75" x14ac:dyDescent="0.3">
      <c r="A1" s="1" t="s">
        <v>78</v>
      </c>
    </row>
    <row r="2" spans="1:30" ht="18.75" x14ac:dyDescent="0.3">
      <c r="A2" s="2" t="s">
        <v>2</v>
      </c>
    </row>
    <row r="3" spans="1:30" x14ac:dyDescent="0.25">
      <c r="A3" s="3" t="s">
        <v>3</v>
      </c>
    </row>
    <row r="4" spans="1:30" x14ac:dyDescent="0.25">
      <c r="A4" s="3" t="s">
        <v>69</v>
      </c>
      <c r="F4" s="3" t="s">
        <v>70</v>
      </c>
    </row>
    <row r="6" spans="1:30" ht="15.75" thickBot="1" x14ac:dyDescent="0.3">
      <c r="D6" s="125" t="s">
        <v>15</v>
      </c>
      <c r="E6" s="126"/>
      <c r="F6" s="127"/>
      <c r="G6" s="125" t="s">
        <v>45</v>
      </c>
      <c r="H6" s="126"/>
      <c r="I6" s="127"/>
      <c r="J6" s="125" t="s">
        <v>51</v>
      </c>
      <c r="K6" s="126"/>
      <c r="L6" s="127"/>
      <c r="M6" s="125" t="s">
        <v>54</v>
      </c>
      <c r="N6" s="126"/>
      <c r="O6" s="127"/>
      <c r="P6" s="125" t="s">
        <v>60</v>
      </c>
      <c r="Q6" s="126"/>
      <c r="R6" s="127"/>
      <c r="S6" s="125" t="s">
        <v>63</v>
      </c>
      <c r="T6" s="126"/>
      <c r="U6" s="127"/>
      <c r="V6" s="125" t="s">
        <v>64</v>
      </c>
      <c r="W6" s="126"/>
      <c r="X6" s="127"/>
      <c r="Y6" s="125" t="s">
        <v>66</v>
      </c>
      <c r="Z6" s="126"/>
      <c r="AA6" s="127"/>
      <c r="AB6" s="125" t="s">
        <v>72</v>
      </c>
      <c r="AC6" s="126"/>
      <c r="AD6" s="127"/>
    </row>
    <row r="7" spans="1:30" ht="15.75" thickBot="1" x14ac:dyDescent="0.3">
      <c r="A7" s="4"/>
      <c r="B7" s="5"/>
      <c r="C7" s="57" t="s">
        <v>57</v>
      </c>
      <c r="D7" s="8" t="s">
        <v>12</v>
      </c>
      <c r="E7" s="6" t="s">
        <v>13</v>
      </c>
      <c r="F7" s="7" t="s">
        <v>14</v>
      </c>
      <c r="G7" s="8" t="s">
        <v>12</v>
      </c>
      <c r="H7" s="6" t="s">
        <v>13</v>
      </c>
      <c r="I7" s="7" t="s">
        <v>14</v>
      </c>
      <c r="J7" s="8" t="s">
        <v>12</v>
      </c>
      <c r="K7" s="6" t="s">
        <v>13</v>
      </c>
      <c r="L7" s="7" t="s">
        <v>14</v>
      </c>
      <c r="M7" s="8" t="s">
        <v>12</v>
      </c>
      <c r="N7" s="6" t="s">
        <v>13</v>
      </c>
      <c r="O7" s="7" t="s">
        <v>14</v>
      </c>
      <c r="P7" s="8" t="s">
        <v>12</v>
      </c>
      <c r="Q7" s="6" t="s">
        <v>13</v>
      </c>
      <c r="R7" s="7" t="s">
        <v>14</v>
      </c>
      <c r="S7" s="8" t="s">
        <v>12</v>
      </c>
      <c r="T7" s="6" t="s">
        <v>13</v>
      </c>
      <c r="U7" s="7" t="s">
        <v>14</v>
      </c>
      <c r="V7" s="8" t="s">
        <v>12</v>
      </c>
      <c r="W7" s="6" t="s">
        <v>13</v>
      </c>
      <c r="X7" s="7" t="s">
        <v>14</v>
      </c>
      <c r="Y7" s="8" t="s">
        <v>12</v>
      </c>
      <c r="Z7" s="6" t="s">
        <v>13</v>
      </c>
      <c r="AA7" s="7" t="s">
        <v>14</v>
      </c>
      <c r="AB7" s="8" t="s">
        <v>12</v>
      </c>
      <c r="AC7" s="6" t="s">
        <v>13</v>
      </c>
      <c r="AD7" s="7" t="s">
        <v>14</v>
      </c>
    </row>
    <row r="8" spans="1:30" ht="15.75" thickBot="1" x14ac:dyDescent="0.3">
      <c r="A8" s="154" t="s">
        <v>0</v>
      </c>
      <c r="B8" s="149" t="s">
        <v>1</v>
      </c>
      <c r="C8" s="10" t="s">
        <v>22</v>
      </c>
      <c r="D8" s="17">
        <v>152</v>
      </c>
      <c r="E8" s="15">
        <v>289</v>
      </c>
      <c r="F8" s="16">
        <f>SUM(D8:E8)</f>
        <v>441</v>
      </c>
      <c r="G8" s="17">
        <v>136</v>
      </c>
      <c r="H8" s="15">
        <v>212</v>
      </c>
      <c r="I8" s="16">
        <f>SUM(G8:H8)</f>
        <v>348</v>
      </c>
      <c r="J8" s="17">
        <v>150</v>
      </c>
      <c r="K8" s="15">
        <v>235</v>
      </c>
      <c r="L8" s="16">
        <f>SUM(J8:K8)</f>
        <v>385</v>
      </c>
      <c r="M8" s="17">
        <v>114</v>
      </c>
      <c r="N8" s="15">
        <v>211</v>
      </c>
      <c r="O8" s="16">
        <f>SUM(M8:N8)</f>
        <v>325</v>
      </c>
      <c r="P8" s="17">
        <v>97</v>
      </c>
      <c r="Q8" s="15">
        <v>173</v>
      </c>
      <c r="R8" s="16">
        <f>SUM(P8:Q8)</f>
        <v>270</v>
      </c>
      <c r="S8" s="17">
        <v>111</v>
      </c>
      <c r="T8" s="15">
        <v>201</v>
      </c>
      <c r="U8" s="16">
        <f>SUM(S8:T8)</f>
        <v>312</v>
      </c>
      <c r="V8" s="17">
        <v>123</v>
      </c>
      <c r="W8" s="15">
        <v>220</v>
      </c>
      <c r="X8" s="16">
        <f>SUM(V8:W8)</f>
        <v>343</v>
      </c>
      <c r="Y8" s="17">
        <v>94</v>
      </c>
      <c r="Z8" s="15">
        <v>216</v>
      </c>
      <c r="AA8" s="16">
        <f>SUM(Y8:Z8)</f>
        <v>310</v>
      </c>
      <c r="AB8" s="17">
        <v>114</v>
      </c>
      <c r="AC8" s="15">
        <v>198</v>
      </c>
      <c r="AD8" s="16">
        <f>SUM(AB8:AC8)</f>
        <v>312</v>
      </c>
    </row>
    <row r="9" spans="1:30" ht="15.75" thickBot="1" x14ac:dyDescent="0.3">
      <c r="A9" s="154"/>
      <c r="B9" s="149"/>
      <c r="C9" s="10" t="s">
        <v>23</v>
      </c>
      <c r="D9" s="17">
        <v>235</v>
      </c>
      <c r="E9" s="15">
        <v>991</v>
      </c>
      <c r="F9" s="16">
        <f t="shared" ref="F9:F19" si="0">SUM(D9:E9)</f>
        <v>1226</v>
      </c>
      <c r="G9" s="17">
        <v>234</v>
      </c>
      <c r="H9" s="15">
        <v>988</v>
      </c>
      <c r="I9" s="16">
        <f t="shared" ref="I9:I19" si="1">SUM(G9:H9)</f>
        <v>1222</v>
      </c>
      <c r="J9" s="17">
        <v>172</v>
      </c>
      <c r="K9" s="15">
        <v>994</v>
      </c>
      <c r="L9" s="16">
        <f t="shared" ref="L9:L19" si="2">SUM(J9:K9)</f>
        <v>1166</v>
      </c>
      <c r="M9" s="17">
        <v>222</v>
      </c>
      <c r="N9" s="15">
        <v>988</v>
      </c>
      <c r="O9" s="16">
        <f t="shared" ref="O9:O19" si="3">SUM(M9:N9)</f>
        <v>1210</v>
      </c>
      <c r="P9" s="17">
        <v>198</v>
      </c>
      <c r="Q9" s="15">
        <v>1021</v>
      </c>
      <c r="R9" s="16">
        <f t="shared" ref="R9:R19" si="4">SUM(P9:Q9)</f>
        <v>1219</v>
      </c>
      <c r="S9" s="17">
        <v>231</v>
      </c>
      <c r="T9" s="15">
        <v>1119</v>
      </c>
      <c r="U9" s="16">
        <f t="shared" ref="U9:U19" si="5">SUM(S9:T9)</f>
        <v>1350</v>
      </c>
      <c r="V9" s="17">
        <v>197</v>
      </c>
      <c r="W9" s="15">
        <v>1046</v>
      </c>
      <c r="X9" s="16">
        <f t="shared" ref="X9:X19" si="6">SUM(V9:W9)</f>
        <v>1243</v>
      </c>
      <c r="Y9" s="17">
        <v>204</v>
      </c>
      <c r="Z9" s="15">
        <v>1209</v>
      </c>
      <c r="AA9" s="16">
        <f t="shared" ref="AA9:AA19" si="7">SUM(Y9:Z9)</f>
        <v>1413</v>
      </c>
      <c r="AB9" s="17">
        <v>181</v>
      </c>
      <c r="AC9" s="15">
        <v>1096</v>
      </c>
      <c r="AD9" s="16">
        <f t="shared" ref="AD9:AD19" si="8">SUM(AB9:AC9)</f>
        <v>1277</v>
      </c>
    </row>
    <row r="10" spans="1:30" ht="15.75" thickBot="1" x14ac:dyDescent="0.3">
      <c r="A10" s="154"/>
      <c r="B10" s="149"/>
      <c r="C10" s="10" t="s">
        <v>24</v>
      </c>
      <c r="D10" s="17">
        <v>140</v>
      </c>
      <c r="E10" s="15">
        <v>261</v>
      </c>
      <c r="F10" s="16">
        <f t="shared" si="0"/>
        <v>401</v>
      </c>
      <c r="G10" s="17">
        <v>177</v>
      </c>
      <c r="H10" s="15">
        <v>230</v>
      </c>
      <c r="I10" s="16">
        <f t="shared" si="1"/>
        <v>407</v>
      </c>
      <c r="J10" s="17">
        <v>132</v>
      </c>
      <c r="K10" s="15">
        <v>229</v>
      </c>
      <c r="L10" s="16">
        <f t="shared" si="2"/>
        <v>361</v>
      </c>
      <c r="M10" s="17">
        <v>127</v>
      </c>
      <c r="N10" s="15">
        <v>278</v>
      </c>
      <c r="O10" s="16">
        <f t="shared" si="3"/>
        <v>405</v>
      </c>
      <c r="P10" s="17">
        <v>117</v>
      </c>
      <c r="Q10" s="15">
        <v>236</v>
      </c>
      <c r="R10" s="16">
        <f t="shared" si="4"/>
        <v>353</v>
      </c>
      <c r="S10" s="17">
        <v>119</v>
      </c>
      <c r="T10" s="15">
        <v>293</v>
      </c>
      <c r="U10" s="16">
        <f t="shared" si="5"/>
        <v>412</v>
      </c>
      <c r="V10" s="17">
        <v>111</v>
      </c>
      <c r="W10" s="15">
        <v>335</v>
      </c>
      <c r="X10" s="16">
        <f t="shared" si="6"/>
        <v>446</v>
      </c>
      <c r="Y10" s="17">
        <v>105</v>
      </c>
      <c r="Z10" s="15">
        <v>292</v>
      </c>
      <c r="AA10" s="16">
        <f t="shared" si="7"/>
        <v>397</v>
      </c>
      <c r="AB10" s="17">
        <v>91</v>
      </c>
      <c r="AC10" s="15">
        <v>240</v>
      </c>
      <c r="AD10" s="16">
        <f t="shared" si="8"/>
        <v>331</v>
      </c>
    </row>
    <row r="11" spans="1:30" ht="15.75" thickBot="1" x14ac:dyDescent="0.3">
      <c r="A11" s="154"/>
      <c r="B11" s="149"/>
      <c r="C11" s="10" t="s">
        <v>26</v>
      </c>
      <c r="D11" s="17">
        <v>1049</v>
      </c>
      <c r="E11" s="15">
        <v>1520</v>
      </c>
      <c r="F11" s="16">
        <f t="shared" si="0"/>
        <v>2569</v>
      </c>
      <c r="G11" s="17">
        <v>1206</v>
      </c>
      <c r="H11" s="15">
        <v>1471</v>
      </c>
      <c r="I11" s="16">
        <f t="shared" si="1"/>
        <v>2677</v>
      </c>
      <c r="J11" s="17">
        <v>1071</v>
      </c>
      <c r="K11" s="15">
        <v>1476</v>
      </c>
      <c r="L11" s="16">
        <f t="shared" si="2"/>
        <v>2547</v>
      </c>
      <c r="M11" s="17">
        <v>1129</v>
      </c>
      <c r="N11" s="15">
        <v>1508</v>
      </c>
      <c r="O11" s="16">
        <f t="shared" si="3"/>
        <v>2637</v>
      </c>
      <c r="P11" s="17">
        <v>1158</v>
      </c>
      <c r="Q11" s="15">
        <v>1490</v>
      </c>
      <c r="R11" s="16">
        <f t="shared" si="4"/>
        <v>2648</v>
      </c>
      <c r="S11" s="17">
        <v>1259</v>
      </c>
      <c r="T11" s="15">
        <v>1707</v>
      </c>
      <c r="U11" s="16">
        <f t="shared" si="5"/>
        <v>2966</v>
      </c>
      <c r="V11" s="17">
        <v>1276</v>
      </c>
      <c r="W11" s="15">
        <v>1681</v>
      </c>
      <c r="X11" s="16">
        <f t="shared" si="6"/>
        <v>2957</v>
      </c>
      <c r="Y11" s="17">
        <v>1154</v>
      </c>
      <c r="Z11" s="15">
        <v>1505</v>
      </c>
      <c r="AA11" s="16">
        <f t="shared" si="7"/>
        <v>2659</v>
      </c>
      <c r="AB11" s="17">
        <v>1084</v>
      </c>
      <c r="AC11" s="15">
        <v>1413</v>
      </c>
      <c r="AD11" s="16">
        <f t="shared" si="8"/>
        <v>2497</v>
      </c>
    </row>
    <row r="12" spans="1:30" ht="15.75" thickBot="1" x14ac:dyDescent="0.3">
      <c r="A12" s="154"/>
      <c r="B12" s="149"/>
      <c r="C12" s="10" t="s">
        <v>27</v>
      </c>
      <c r="D12" s="17">
        <v>929</v>
      </c>
      <c r="E12" s="15">
        <v>3712</v>
      </c>
      <c r="F12" s="16">
        <f t="shared" si="0"/>
        <v>4641</v>
      </c>
      <c r="G12" s="17">
        <v>925</v>
      </c>
      <c r="H12" s="15">
        <v>3648</v>
      </c>
      <c r="I12" s="16">
        <f t="shared" si="1"/>
        <v>4573</v>
      </c>
      <c r="J12" s="17">
        <v>895</v>
      </c>
      <c r="K12" s="15">
        <v>3258</v>
      </c>
      <c r="L12" s="16">
        <f t="shared" si="2"/>
        <v>4153</v>
      </c>
      <c r="M12" s="17">
        <v>837</v>
      </c>
      <c r="N12" s="15">
        <v>3274</v>
      </c>
      <c r="O12" s="16">
        <f t="shared" si="3"/>
        <v>4111</v>
      </c>
      <c r="P12" s="17">
        <v>874</v>
      </c>
      <c r="Q12" s="15">
        <v>3085</v>
      </c>
      <c r="R12" s="16">
        <f t="shared" si="4"/>
        <v>3959</v>
      </c>
      <c r="S12" s="17">
        <v>982</v>
      </c>
      <c r="T12" s="15">
        <v>3341</v>
      </c>
      <c r="U12" s="16">
        <f t="shared" si="5"/>
        <v>4323</v>
      </c>
      <c r="V12" s="17">
        <v>977</v>
      </c>
      <c r="W12" s="15">
        <v>3266</v>
      </c>
      <c r="X12" s="16">
        <f t="shared" si="6"/>
        <v>4243</v>
      </c>
      <c r="Y12" s="17">
        <v>896</v>
      </c>
      <c r="Z12" s="15">
        <v>3135</v>
      </c>
      <c r="AA12" s="16">
        <f t="shared" si="7"/>
        <v>4031</v>
      </c>
      <c r="AB12" s="17">
        <v>833</v>
      </c>
      <c r="AC12" s="15">
        <v>2811</v>
      </c>
      <c r="AD12" s="16">
        <f t="shared" si="8"/>
        <v>3644</v>
      </c>
    </row>
    <row r="13" spans="1:30" ht="15.75" thickBot="1" x14ac:dyDescent="0.3">
      <c r="A13" s="154"/>
      <c r="B13" s="149"/>
      <c r="C13" s="10" t="s">
        <v>34</v>
      </c>
      <c r="D13" s="17">
        <v>81</v>
      </c>
      <c r="E13" s="15">
        <v>235</v>
      </c>
      <c r="F13" s="16">
        <f t="shared" si="0"/>
        <v>316</v>
      </c>
      <c r="G13" s="17">
        <v>75</v>
      </c>
      <c r="H13" s="15">
        <v>262</v>
      </c>
      <c r="I13" s="16">
        <f t="shared" si="1"/>
        <v>337</v>
      </c>
      <c r="J13" s="17">
        <v>71</v>
      </c>
      <c r="K13" s="15">
        <v>229</v>
      </c>
      <c r="L13" s="16">
        <f t="shared" si="2"/>
        <v>300</v>
      </c>
      <c r="M13" s="17">
        <v>75</v>
      </c>
      <c r="N13" s="15">
        <v>244</v>
      </c>
      <c r="O13" s="16">
        <f t="shared" si="3"/>
        <v>319</v>
      </c>
      <c r="P13" s="17">
        <v>83</v>
      </c>
      <c r="Q13" s="15">
        <v>235</v>
      </c>
      <c r="R13" s="16">
        <f t="shared" si="4"/>
        <v>318</v>
      </c>
      <c r="S13" s="17">
        <v>74</v>
      </c>
      <c r="T13" s="15">
        <v>259</v>
      </c>
      <c r="U13" s="16">
        <f t="shared" si="5"/>
        <v>333</v>
      </c>
      <c r="V13" s="17">
        <v>77</v>
      </c>
      <c r="W13" s="15">
        <v>254</v>
      </c>
      <c r="X13" s="16">
        <f t="shared" si="6"/>
        <v>331</v>
      </c>
      <c r="Y13" s="17">
        <v>59</v>
      </c>
      <c r="Z13" s="15">
        <v>246</v>
      </c>
      <c r="AA13" s="16">
        <f t="shared" si="7"/>
        <v>305</v>
      </c>
      <c r="AB13" s="17">
        <v>62</v>
      </c>
      <c r="AC13" s="15">
        <v>239</v>
      </c>
      <c r="AD13" s="16">
        <f t="shared" si="8"/>
        <v>301</v>
      </c>
    </row>
    <row r="14" spans="1:30" ht="15.75" thickBot="1" x14ac:dyDescent="0.3">
      <c r="A14" s="154"/>
      <c r="B14" s="149"/>
      <c r="C14" s="10" t="s">
        <v>31</v>
      </c>
      <c r="D14" s="17">
        <v>415</v>
      </c>
      <c r="E14" s="15">
        <v>2083</v>
      </c>
      <c r="F14" s="16">
        <f t="shared" si="0"/>
        <v>2498</v>
      </c>
      <c r="G14" s="17">
        <v>427</v>
      </c>
      <c r="H14" s="15">
        <v>2274</v>
      </c>
      <c r="I14" s="16">
        <f t="shared" si="1"/>
        <v>2701</v>
      </c>
      <c r="J14" s="17">
        <v>395</v>
      </c>
      <c r="K14" s="15">
        <v>2133</v>
      </c>
      <c r="L14" s="16">
        <f t="shared" si="2"/>
        <v>2528</v>
      </c>
      <c r="M14" s="17">
        <v>295</v>
      </c>
      <c r="N14" s="15">
        <v>1685</v>
      </c>
      <c r="O14" s="16">
        <f t="shared" si="3"/>
        <v>1980</v>
      </c>
      <c r="P14" s="17">
        <v>175</v>
      </c>
      <c r="Q14" s="15">
        <v>885</v>
      </c>
      <c r="R14" s="16">
        <f t="shared" si="4"/>
        <v>1060</v>
      </c>
      <c r="S14" s="17">
        <v>226</v>
      </c>
      <c r="T14" s="15">
        <v>1219</v>
      </c>
      <c r="U14" s="16">
        <f t="shared" si="5"/>
        <v>1445</v>
      </c>
      <c r="V14" s="17">
        <v>212</v>
      </c>
      <c r="W14" s="15">
        <v>1322</v>
      </c>
      <c r="X14" s="16">
        <f t="shared" si="6"/>
        <v>1534</v>
      </c>
      <c r="Y14" s="17">
        <v>221</v>
      </c>
      <c r="Z14" s="15">
        <v>1362</v>
      </c>
      <c r="AA14" s="16">
        <f t="shared" si="7"/>
        <v>1583</v>
      </c>
      <c r="AB14" s="17">
        <v>217</v>
      </c>
      <c r="AC14" s="15">
        <v>1358</v>
      </c>
      <c r="AD14" s="16">
        <f t="shared" si="8"/>
        <v>1575</v>
      </c>
    </row>
    <row r="15" spans="1:30" ht="15.75" thickBot="1" x14ac:dyDescent="0.3">
      <c r="A15" s="154"/>
      <c r="B15" s="149"/>
      <c r="C15" s="10" t="s">
        <v>35</v>
      </c>
      <c r="D15" s="17">
        <v>94</v>
      </c>
      <c r="E15" s="15">
        <v>478</v>
      </c>
      <c r="F15" s="16">
        <f t="shared" si="0"/>
        <v>572</v>
      </c>
      <c r="G15" s="17">
        <v>80</v>
      </c>
      <c r="H15" s="15">
        <v>467</v>
      </c>
      <c r="I15" s="16">
        <f t="shared" si="1"/>
        <v>547</v>
      </c>
      <c r="J15" s="17">
        <v>80</v>
      </c>
      <c r="K15" s="15">
        <v>447</v>
      </c>
      <c r="L15" s="16">
        <f t="shared" si="2"/>
        <v>527</v>
      </c>
      <c r="M15" s="17">
        <v>63</v>
      </c>
      <c r="N15" s="15">
        <v>404</v>
      </c>
      <c r="O15" s="16">
        <f t="shared" si="3"/>
        <v>467</v>
      </c>
      <c r="P15" s="17">
        <v>87</v>
      </c>
      <c r="Q15" s="15">
        <v>407</v>
      </c>
      <c r="R15" s="16">
        <f t="shared" si="4"/>
        <v>494</v>
      </c>
      <c r="S15" s="17">
        <v>67</v>
      </c>
      <c r="T15" s="15">
        <v>374</v>
      </c>
      <c r="U15" s="16">
        <f t="shared" si="5"/>
        <v>441</v>
      </c>
      <c r="V15" s="17">
        <v>57</v>
      </c>
      <c r="W15" s="15">
        <v>351</v>
      </c>
      <c r="X15" s="16">
        <f t="shared" si="6"/>
        <v>408</v>
      </c>
      <c r="Y15" s="17">
        <v>67</v>
      </c>
      <c r="Z15" s="15">
        <v>348</v>
      </c>
      <c r="AA15" s="16">
        <f t="shared" si="7"/>
        <v>415</v>
      </c>
      <c r="AB15" s="17">
        <v>66</v>
      </c>
      <c r="AC15" s="15">
        <v>281</v>
      </c>
      <c r="AD15" s="16">
        <f t="shared" si="8"/>
        <v>347</v>
      </c>
    </row>
    <row r="16" spans="1:30" ht="15.75" thickBot="1" x14ac:dyDescent="0.3">
      <c r="A16" s="154"/>
      <c r="B16" s="149"/>
      <c r="C16" s="10" t="s">
        <v>28</v>
      </c>
      <c r="D16" s="17">
        <v>517</v>
      </c>
      <c r="E16" s="15">
        <v>29</v>
      </c>
      <c r="F16" s="16">
        <f t="shared" si="0"/>
        <v>546</v>
      </c>
      <c r="G16" s="17">
        <v>488</v>
      </c>
      <c r="H16" s="15">
        <v>24</v>
      </c>
      <c r="I16" s="16">
        <f t="shared" si="1"/>
        <v>512</v>
      </c>
      <c r="J16" s="17">
        <v>506</v>
      </c>
      <c r="K16" s="15">
        <v>29</v>
      </c>
      <c r="L16" s="16">
        <f t="shared" si="2"/>
        <v>535</v>
      </c>
      <c r="M16" s="17">
        <v>557</v>
      </c>
      <c r="N16" s="15">
        <v>23</v>
      </c>
      <c r="O16" s="16">
        <f t="shared" si="3"/>
        <v>580</v>
      </c>
      <c r="P16" s="17">
        <v>561</v>
      </c>
      <c r="Q16" s="15">
        <v>41</v>
      </c>
      <c r="R16" s="16">
        <f t="shared" si="4"/>
        <v>602</v>
      </c>
      <c r="S16" s="17">
        <v>588</v>
      </c>
      <c r="T16" s="15">
        <v>45</v>
      </c>
      <c r="U16" s="16">
        <f t="shared" si="5"/>
        <v>633</v>
      </c>
      <c r="V16" s="17">
        <v>582</v>
      </c>
      <c r="W16" s="15">
        <v>45</v>
      </c>
      <c r="X16" s="16">
        <f t="shared" si="6"/>
        <v>627</v>
      </c>
      <c r="Y16" s="17">
        <v>494</v>
      </c>
      <c r="Z16" s="15">
        <v>41</v>
      </c>
      <c r="AA16" s="16">
        <f t="shared" si="7"/>
        <v>535</v>
      </c>
      <c r="AB16" s="17">
        <v>477</v>
      </c>
      <c r="AC16" s="15">
        <v>42</v>
      </c>
      <c r="AD16" s="16">
        <f t="shared" si="8"/>
        <v>519</v>
      </c>
    </row>
    <row r="17" spans="1:30" ht="15.75" thickBot="1" x14ac:dyDescent="0.3">
      <c r="A17" s="154"/>
      <c r="B17" s="149"/>
      <c r="C17" s="10" t="s">
        <v>58</v>
      </c>
      <c r="D17" s="17">
        <v>193</v>
      </c>
      <c r="E17" s="15">
        <v>114</v>
      </c>
      <c r="F17" s="16">
        <f t="shared" si="0"/>
        <v>307</v>
      </c>
      <c r="G17" s="17">
        <v>169</v>
      </c>
      <c r="H17" s="15">
        <v>115</v>
      </c>
      <c r="I17" s="16">
        <f t="shared" si="1"/>
        <v>284</v>
      </c>
      <c r="J17" s="17">
        <v>177</v>
      </c>
      <c r="K17" s="15">
        <v>136</v>
      </c>
      <c r="L17" s="16">
        <f t="shared" si="2"/>
        <v>313</v>
      </c>
      <c r="M17" s="17">
        <v>153</v>
      </c>
      <c r="N17" s="15">
        <v>120</v>
      </c>
      <c r="O17" s="16">
        <f t="shared" si="3"/>
        <v>273</v>
      </c>
      <c r="P17" s="17">
        <v>151</v>
      </c>
      <c r="Q17" s="15">
        <v>147</v>
      </c>
      <c r="R17" s="16">
        <f t="shared" si="4"/>
        <v>298</v>
      </c>
      <c r="S17" s="17">
        <v>154</v>
      </c>
      <c r="T17" s="15">
        <v>149</v>
      </c>
      <c r="U17" s="16">
        <f t="shared" si="5"/>
        <v>303</v>
      </c>
      <c r="V17" s="17">
        <v>171</v>
      </c>
      <c r="W17" s="15">
        <v>122</v>
      </c>
      <c r="X17" s="16">
        <f t="shared" si="6"/>
        <v>293</v>
      </c>
      <c r="Y17" s="17">
        <v>141</v>
      </c>
      <c r="Z17" s="15">
        <v>167</v>
      </c>
      <c r="AA17" s="16">
        <f t="shared" si="7"/>
        <v>308</v>
      </c>
      <c r="AB17" s="17">
        <v>138</v>
      </c>
      <c r="AC17" s="15">
        <v>127</v>
      </c>
      <c r="AD17" s="16">
        <f t="shared" si="8"/>
        <v>265</v>
      </c>
    </row>
    <row r="18" spans="1:30" ht="15.75" thickBot="1" x14ac:dyDescent="0.3">
      <c r="A18" s="154"/>
      <c r="B18" s="149"/>
      <c r="C18" s="10" t="s">
        <v>59</v>
      </c>
      <c r="D18" s="17">
        <v>849</v>
      </c>
      <c r="E18" s="15">
        <v>192</v>
      </c>
      <c r="F18" s="16">
        <f t="shared" si="0"/>
        <v>1041</v>
      </c>
      <c r="G18" s="17">
        <v>677</v>
      </c>
      <c r="H18" s="15">
        <v>135</v>
      </c>
      <c r="I18" s="16">
        <f t="shared" si="1"/>
        <v>812</v>
      </c>
      <c r="J18" s="17">
        <v>811</v>
      </c>
      <c r="K18" s="15">
        <v>193</v>
      </c>
      <c r="L18" s="16">
        <f t="shared" si="2"/>
        <v>1004</v>
      </c>
      <c r="M18" s="17">
        <v>768</v>
      </c>
      <c r="N18" s="15">
        <v>200</v>
      </c>
      <c r="O18" s="16">
        <f t="shared" si="3"/>
        <v>968</v>
      </c>
      <c r="P18" s="17">
        <v>821</v>
      </c>
      <c r="Q18" s="15">
        <v>232</v>
      </c>
      <c r="R18" s="16">
        <f t="shared" si="4"/>
        <v>1053</v>
      </c>
      <c r="S18" s="17">
        <v>855</v>
      </c>
      <c r="T18" s="15">
        <v>231</v>
      </c>
      <c r="U18" s="16">
        <f t="shared" si="5"/>
        <v>1086</v>
      </c>
      <c r="V18" s="17">
        <v>955</v>
      </c>
      <c r="W18" s="15">
        <v>235</v>
      </c>
      <c r="X18" s="16">
        <f t="shared" si="6"/>
        <v>1190</v>
      </c>
      <c r="Y18" s="17">
        <v>884</v>
      </c>
      <c r="Z18" s="15">
        <v>247</v>
      </c>
      <c r="AA18" s="16">
        <f t="shared" si="7"/>
        <v>1131</v>
      </c>
      <c r="AB18" s="17">
        <v>798</v>
      </c>
      <c r="AC18" s="15">
        <v>270</v>
      </c>
      <c r="AD18" s="16">
        <f t="shared" si="8"/>
        <v>1068</v>
      </c>
    </row>
    <row r="19" spans="1:30" ht="15.75" thickBot="1" x14ac:dyDescent="0.3">
      <c r="A19" s="154"/>
      <c r="B19" s="149"/>
      <c r="C19" s="10" t="s">
        <v>10</v>
      </c>
      <c r="D19" s="17">
        <v>34</v>
      </c>
      <c r="E19" s="15">
        <v>100</v>
      </c>
      <c r="F19" s="16">
        <f t="shared" si="0"/>
        <v>134</v>
      </c>
      <c r="G19" s="17">
        <v>26</v>
      </c>
      <c r="H19" s="15">
        <v>120</v>
      </c>
      <c r="I19" s="16">
        <f t="shared" si="1"/>
        <v>146</v>
      </c>
      <c r="J19" s="17">
        <v>22</v>
      </c>
      <c r="K19" s="15">
        <v>81</v>
      </c>
      <c r="L19" s="16">
        <f t="shared" si="2"/>
        <v>103</v>
      </c>
      <c r="M19" s="17">
        <v>30</v>
      </c>
      <c r="N19" s="15">
        <v>82</v>
      </c>
      <c r="O19" s="16">
        <f t="shared" si="3"/>
        <v>112</v>
      </c>
      <c r="P19" s="17">
        <v>28</v>
      </c>
      <c r="Q19" s="15">
        <v>86</v>
      </c>
      <c r="R19" s="16">
        <f t="shared" si="4"/>
        <v>114</v>
      </c>
      <c r="S19" s="17">
        <v>32</v>
      </c>
      <c r="T19" s="15">
        <v>89</v>
      </c>
      <c r="U19" s="16">
        <f t="shared" si="5"/>
        <v>121</v>
      </c>
      <c r="V19" s="17">
        <v>25</v>
      </c>
      <c r="W19" s="15">
        <v>101</v>
      </c>
      <c r="X19" s="16">
        <f t="shared" si="6"/>
        <v>126</v>
      </c>
      <c r="Y19" s="17">
        <v>54</v>
      </c>
      <c r="Z19" s="15">
        <v>78</v>
      </c>
      <c r="AA19" s="16">
        <f t="shared" si="7"/>
        <v>132</v>
      </c>
      <c r="AB19" s="17">
        <v>56</v>
      </c>
      <c r="AC19" s="15">
        <v>96</v>
      </c>
      <c r="AD19" s="16">
        <f t="shared" si="8"/>
        <v>152</v>
      </c>
    </row>
    <row r="20" spans="1:30" ht="15.75" thickBot="1" x14ac:dyDescent="0.3">
      <c r="A20" s="154"/>
      <c r="B20" s="149"/>
      <c r="C20" s="11" t="s">
        <v>5</v>
      </c>
      <c r="D20" s="20">
        <f>SUM(D8:D19)</f>
        <v>4688</v>
      </c>
      <c r="E20" s="18">
        <f>SUM(E8:E19)</f>
        <v>10004</v>
      </c>
      <c r="F20" s="19">
        <f>SUM(F8:F19)</f>
        <v>14692</v>
      </c>
      <c r="G20" s="20">
        <f t="shared" ref="G20:X20" si="9">SUM(G8:G19)</f>
        <v>4620</v>
      </c>
      <c r="H20" s="18">
        <f t="shared" si="9"/>
        <v>9946</v>
      </c>
      <c r="I20" s="19">
        <f t="shared" si="9"/>
        <v>14566</v>
      </c>
      <c r="J20" s="20">
        <f t="shared" si="9"/>
        <v>4482</v>
      </c>
      <c r="K20" s="18">
        <f t="shared" si="9"/>
        <v>9440</v>
      </c>
      <c r="L20" s="19">
        <f t="shared" si="9"/>
        <v>13922</v>
      </c>
      <c r="M20" s="20">
        <f t="shared" si="9"/>
        <v>4370</v>
      </c>
      <c r="N20" s="18">
        <f t="shared" si="9"/>
        <v>9017</v>
      </c>
      <c r="O20" s="19">
        <f t="shared" si="9"/>
        <v>13387</v>
      </c>
      <c r="P20" s="20">
        <f t="shared" si="9"/>
        <v>4350</v>
      </c>
      <c r="Q20" s="18">
        <f t="shared" si="9"/>
        <v>8038</v>
      </c>
      <c r="R20" s="19">
        <f t="shared" si="9"/>
        <v>12388</v>
      </c>
      <c r="S20" s="20">
        <f t="shared" si="9"/>
        <v>4698</v>
      </c>
      <c r="T20" s="18">
        <f t="shared" si="9"/>
        <v>9027</v>
      </c>
      <c r="U20" s="19">
        <f t="shared" si="9"/>
        <v>13725</v>
      </c>
      <c r="V20" s="20">
        <f t="shared" si="9"/>
        <v>4763</v>
      </c>
      <c r="W20" s="18">
        <f t="shared" si="9"/>
        <v>8978</v>
      </c>
      <c r="X20" s="19">
        <f t="shared" si="9"/>
        <v>13741</v>
      </c>
      <c r="Y20" s="20">
        <f t="shared" ref="Y20:AA20" si="10">SUM(Y8:Y19)</f>
        <v>4373</v>
      </c>
      <c r="Z20" s="18">
        <f t="shared" si="10"/>
        <v>8846</v>
      </c>
      <c r="AA20" s="19">
        <f t="shared" si="10"/>
        <v>13219</v>
      </c>
      <c r="AB20" s="20">
        <f t="shared" ref="AB20:AD20" si="11">SUM(AB8:AB19)</f>
        <v>4117</v>
      </c>
      <c r="AC20" s="18">
        <f t="shared" si="11"/>
        <v>8171</v>
      </c>
      <c r="AD20" s="19">
        <f t="shared" si="11"/>
        <v>12288</v>
      </c>
    </row>
    <row r="21" spans="1:30" ht="15.75" thickBot="1" x14ac:dyDescent="0.3">
      <c r="A21" s="154"/>
      <c r="B21" s="150" t="s">
        <v>4</v>
      </c>
      <c r="C21" s="10" t="s">
        <v>52</v>
      </c>
      <c r="D21" s="17">
        <v>42</v>
      </c>
      <c r="E21" s="15">
        <v>113</v>
      </c>
      <c r="F21" s="16">
        <f t="shared" ref="F21:F29" si="12">SUM(D21:E21)</f>
        <v>155</v>
      </c>
      <c r="G21" s="39"/>
      <c r="H21" s="40"/>
      <c r="I21" s="41">
        <f t="shared" ref="I21:I29" si="13">SUM(G21:H21)</f>
        <v>0</v>
      </c>
      <c r="J21" s="39"/>
      <c r="K21" s="40"/>
      <c r="L21" s="41">
        <f t="shared" ref="L21:L29" si="14">SUM(J21:K21)</f>
        <v>0</v>
      </c>
      <c r="M21" s="39"/>
      <c r="N21" s="40"/>
      <c r="O21" s="41">
        <f t="shared" ref="O21:O29" si="15">SUM(M21:N21)</f>
        <v>0</v>
      </c>
      <c r="P21" s="39"/>
      <c r="Q21" s="40"/>
      <c r="R21" s="41">
        <f t="shared" ref="R21:R29" si="16">SUM(P21:Q21)</f>
        <v>0</v>
      </c>
      <c r="S21" s="39"/>
      <c r="T21" s="40"/>
      <c r="U21" s="41">
        <f t="shared" ref="U21:U29" si="17">SUM(S21:T21)</f>
        <v>0</v>
      </c>
      <c r="V21" s="39"/>
      <c r="W21" s="40"/>
      <c r="X21" s="41">
        <f t="shared" ref="X21:X29" si="18">SUM(V21:W21)</f>
        <v>0</v>
      </c>
      <c r="Y21" s="39"/>
      <c r="Z21" s="40"/>
      <c r="AA21" s="41">
        <f t="shared" ref="AA21:AA29" si="19">SUM(Y21:Z21)</f>
        <v>0</v>
      </c>
      <c r="AB21" s="39"/>
      <c r="AC21" s="40"/>
      <c r="AD21" s="41">
        <f t="shared" ref="AD21:AD29" si="20">SUM(AB21:AC21)</f>
        <v>0</v>
      </c>
    </row>
    <row r="22" spans="1:30" ht="15.75" thickBot="1" x14ac:dyDescent="0.3">
      <c r="A22" s="154"/>
      <c r="B22" s="150"/>
      <c r="C22" s="10" t="s">
        <v>22</v>
      </c>
      <c r="D22" s="17">
        <v>74</v>
      </c>
      <c r="E22" s="15">
        <v>293</v>
      </c>
      <c r="F22" s="16">
        <f t="shared" si="12"/>
        <v>367</v>
      </c>
      <c r="G22" s="17">
        <v>67</v>
      </c>
      <c r="H22" s="15">
        <v>278</v>
      </c>
      <c r="I22" s="16">
        <f t="shared" si="13"/>
        <v>345</v>
      </c>
      <c r="J22" s="17">
        <v>151</v>
      </c>
      <c r="K22" s="15">
        <v>463</v>
      </c>
      <c r="L22" s="16">
        <f t="shared" si="14"/>
        <v>614</v>
      </c>
      <c r="M22" s="17">
        <v>72</v>
      </c>
      <c r="N22" s="15">
        <v>253</v>
      </c>
      <c r="O22" s="16">
        <f t="shared" si="15"/>
        <v>325</v>
      </c>
      <c r="P22" s="17">
        <v>103</v>
      </c>
      <c r="Q22" s="15">
        <v>233</v>
      </c>
      <c r="R22" s="16">
        <f t="shared" si="16"/>
        <v>336</v>
      </c>
      <c r="S22" s="17">
        <v>85</v>
      </c>
      <c r="T22" s="15">
        <v>254</v>
      </c>
      <c r="U22" s="16">
        <f t="shared" si="17"/>
        <v>339</v>
      </c>
      <c r="V22" s="17">
        <v>86</v>
      </c>
      <c r="W22" s="15">
        <v>242</v>
      </c>
      <c r="X22" s="16">
        <f t="shared" si="18"/>
        <v>328</v>
      </c>
      <c r="Y22" s="17">
        <v>74</v>
      </c>
      <c r="Z22" s="15">
        <v>206</v>
      </c>
      <c r="AA22" s="16">
        <f t="shared" si="19"/>
        <v>280</v>
      </c>
      <c r="AB22" s="17">
        <v>116</v>
      </c>
      <c r="AC22" s="15">
        <v>314</v>
      </c>
      <c r="AD22" s="16">
        <f t="shared" si="20"/>
        <v>430</v>
      </c>
    </row>
    <row r="23" spans="1:30" ht="15.75" thickBot="1" x14ac:dyDescent="0.3">
      <c r="A23" s="154"/>
      <c r="B23" s="150"/>
      <c r="C23" s="10" t="s">
        <v>23</v>
      </c>
      <c r="D23" s="17">
        <v>34</v>
      </c>
      <c r="E23" s="15">
        <v>83</v>
      </c>
      <c r="F23" s="16">
        <f t="shared" si="12"/>
        <v>117</v>
      </c>
      <c r="G23" s="17">
        <v>27</v>
      </c>
      <c r="H23" s="15">
        <v>73</v>
      </c>
      <c r="I23" s="16">
        <f t="shared" si="13"/>
        <v>100</v>
      </c>
      <c r="J23" s="17">
        <v>24</v>
      </c>
      <c r="K23" s="15">
        <v>73</v>
      </c>
      <c r="L23" s="16">
        <f t="shared" si="14"/>
        <v>97</v>
      </c>
      <c r="M23" s="17">
        <v>32</v>
      </c>
      <c r="N23" s="15">
        <v>83</v>
      </c>
      <c r="O23" s="16">
        <f t="shared" si="15"/>
        <v>115</v>
      </c>
      <c r="P23" s="17">
        <v>21</v>
      </c>
      <c r="Q23" s="15">
        <v>90</v>
      </c>
      <c r="R23" s="16">
        <f t="shared" si="16"/>
        <v>111</v>
      </c>
      <c r="S23" s="17">
        <v>30</v>
      </c>
      <c r="T23" s="15">
        <v>85</v>
      </c>
      <c r="U23" s="16">
        <f t="shared" si="17"/>
        <v>115</v>
      </c>
      <c r="V23" s="17">
        <v>23</v>
      </c>
      <c r="W23" s="15">
        <v>67</v>
      </c>
      <c r="X23" s="16">
        <f t="shared" si="18"/>
        <v>90</v>
      </c>
      <c r="Y23" s="17">
        <v>24</v>
      </c>
      <c r="Z23" s="15">
        <v>80</v>
      </c>
      <c r="AA23" s="16">
        <f t="shared" si="19"/>
        <v>104</v>
      </c>
      <c r="AB23" s="17">
        <v>17</v>
      </c>
      <c r="AC23" s="15">
        <v>89</v>
      </c>
      <c r="AD23" s="16">
        <f t="shared" si="20"/>
        <v>106</v>
      </c>
    </row>
    <row r="24" spans="1:30" ht="15.75" thickBot="1" x14ac:dyDescent="0.3">
      <c r="A24" s="154"/>
      <c r="B24" s="150"/>
      <c r="C24" s="10" t="s">
        <v>26</v>
      </c>
      <c r="D24" s="17">
        <v>273</v>
      </c>
      <c r="E24" s="15">
        <v>244</v>
      </c>
      <c r="F24" s="16">
        <f t="shared" si="12"/>
        <v>517</v>
      </c>
      <c r="G24" s="17">
        <v>195</v>
      </c>
      <c r="H24" s="15">
        <v>175</v>
      </c>
      <c r="I24" s="16">
        <f t="shared" si="13"/>
        <v>370</v>
      </c>
      <c r="J24" s="17">
        <v>230</v>
      </c>
      <c r="K24" s="15">
        <v>221</v>
      </c>
      <c r="L24" s="16">
        <f t="shared" si="14"/>
        <v>451</v>
      </c>
      <c r="M24" s="17">
        <v>154</v>
      </c>
      <c r="N24" s="15">
        <v>165</v>
      </c>
      <c r="O24" s="16">
        <f t="shared" si="15"/>
        <v>319</v>
      </c>
      <c r="P24" s="17">
        <v>173</v>
      </c>
      <c r="Q24" s="15">
        <v>167</v>
      </c>
      <c r="R24" s="16">
        <f t="shared" si="16"/>
        <v>340</v>
      </c>
      <c r="S24" s="17">
        <v>182</v>
      </c>
      <c r="T24" s="15">
        <v>232</v>
      </c>
      <c r="U24" s="16">
        <f t="shared" si="17"/>
        <v>414</v>
      </c>
      <c r="V24" s="17">
        <v>250</v>
      </c>
      <c r="W24" s="15">
        <v>222</v>
      </c>
      <c r="X24" s="16">
        <f t="shared" si="18"/>
        <v>472</v>
      </c>
      <c r="Y24" s="17">
        <v>247</v>
      </c>
      <c r="Z24" s="15">
        <v>253</v>
      </c>
      <c r="AA24" s="16">
        <f t="shared" si="19"/>
        <v>500</v>
      </c>
      <c r="AB24" s="17">
        <v>199</v>
      </c>
      <c r="AC24" s="15">
        <v>205</v>
      </c>
      <c r="AD24" s="16">
        <f t="shared" si="20"/>
        <v>404</v>
      </c>
    </row>
    <row r="25" spans="1:30" ht="15.75" thickBot="1" x14ac:dyDescent="0.3">
      <c r="A25" s="154"/>
      <c r="B25" s="150"/>
      <c r="C25" s="10" t="s">
        <v>31</v>
      </c>
      <c r="D25" s="122"/>
      <c r="E25" s="123"/>
      <c r="F25" s="124"/>
      <c r="G25" s="122"/>
      <c r="H25" s="123"/>
      <c r="I25" s="124"/>
      <c r="J25" s="122"/>
      <c r="K25" s="123"/>
      <c r="L25" s="124"/>
      <c r="M25" s="122"/>
      <c r="N25" s="123"/>
      <c r="O25" s="124"/>
      <c r="P25" s="122"/>
      <c r="Q25" s="123"/>
      <c r="R25" s="124"/>
      <c r="S25" s="122"/>
      <c r="T25" s="123"/>
      <c r="U25" s="124"/>
      <c r="V25" s="122"/>
      <c r="W25" s="123"/>
      <c r="X25" s="124"/>
      <c r="Y25" s="122"/>
      <c r="Z25" s="123"/>
      <c r="AA25" s="124"/>
      <c r="AB25" s="17">
        <v>7</v>
      </c>
      <c r="AC25" s="15">
        <v>20</v>
      </c>
      <c r="AD25" s="16">
        <f t="shared" si="20"/>
        <v>27</v>
      </c>
    </row>
    <row r="26" spans="1:30" ht="15.75" thickBot="1" x14ac:dyDescent="0.3">
      <c r="A26" s="154"/>
      <c r="B26" s="150"/>
      <c r="C26" s="10" t="s">
        <v>35</v>
      </c>
      <c r="D26" s="17">
        <v>306</v>
      </c>
      <c r="E26" s="15">
        <v>361</v>
      </c>
      <c r="F26" s="16">
        <f t="shared" si="12"/>
        <v>667</v>
      </c>
      <c r="G26" s="17">
        <v>296</v>
      </c>
      <c r="H26" s="15">
        <v>382</v>
      </c>
      <c r="I26" s="16">
        <f t="shared" si="13"/>
        <v>678</v>
      </c>
      <c r="J26" s="17">
        <v>387</v>
      </c>
      <c r="K26" s="15">
        <v>471</v>
      </c>
      <c r="L26" s="16">
        <f t="shared" si="14"/>
        <v>858</v>
      </c>
      <c r="M26" s="17">
        <v>369</v>
      </c>
      <c r="N26" s="15">
        <v>412</v>
      </c>
      <c r="O26" s="16">
        <f t="shared" si="15"/>
        <v>781</v>
      </c>
      <c r="P26" s="17">
        <v>365</v>
      </c>
      <c r="Q26" s="15">
        <v>429</v>
      </c>
      <c r="R26" s="16">
        <f t="shared" si="16"/>
        <v>794</v>
      </c>
      <c r="S26" s="17">
        <v>333</v>
      </c>
      <c r="T26" s="15">
        <v>384</v>
      </c>
      <c r="U26" s="16">
        <f t="shared" si="17"/>
        <v>717</v>
      </c>
      <c r="V26" s="17">
        <v>386</v>
      </c>
      <c r="W26" s="15">
        <v>409</v>
      </c>
      <c r="X26" s="16">
        <f t="shared" si="18"/>
        <v>795</v>
      </c>
      <c r="Y26" s="17">
        <v>421</v>
      </c>
      <c r="Z26" s="15">
        <v>496</v>
      </c>
      <c r="AA26" s="16">
        <f t="shared" si="19"/>
        <v>917</v>
      </c>
      <c r="AB26" s="17">
        <v>387</v>
      </c>
      <c r="AC26" s="15">
        <v>402</v>
      </c>
      <c r="AD26" s="16">
        <f t="shared" si="20"/>
        <v>789</v>
      </c>
    </row>
    <row r="27" spans="1:30" ht="15.75" thickBot="1" x14ac:dyDescent="0.3">
      <c r="A27" s="154"/>
      <c r="B27" s="150"/>
      <c r="C27" s="10" t="s">
        <v>28</v>
      </c>
      <c r="D27" s="17">
        <v>21</v>
      </c>
      <c r="E27" s="15">
        <v>4</v>
      </c>
      <c r="F27" s="16">
        <f t="shared" si="12"/>
        <v>25</v>
      </c>
      <c r="G27" s="17">
        <v>14</v>
      </c>
      <c r="H27" s="15">
        <v>4</v>
      </c>
      <c r="I27" s="16">
        <f t="shared" si="13"/>
        <v>18</v>
      </c>
      <c r="J27" s="17">
        <v>17</v>
      </c>
      <c r="K27" s="15">
        <v>7</v>
      </c>
      <c r="L27" s="16">
        <f t="shared" si="14"/>
        <v>24</v>
      </c>
      <c r="M27" s="17">
        <v>15</v>
      </c>
      <c r="N27" s="15">
        <v>5</v>
      </c>
      <c r="O27" s="16">
        <f t="shared" si="15"/>
        <v>20</v>
      </c>
      <c r="P27" s="17">
        <v>8</v>
      </c>
      <c r="Q27" s="15">
        <v>0</v>
      </c>
      <c r="R27" s="16">
        <f t="shared" si="16"/>
        <v>8</v>
      </c>
      <c r="S27" s="17">
        <v>6</v>
      </c>
      <c r="T27" s="15">
        <v>2</v>
      </c>
      <c r="U27" s="16">
        <f t="shared" si="17"/>
        <v>8</v>
      </c>
      <c r="V27" s="17">
        <v>3</v>
      </c>
      <c r="W27" s="15">
        <v>1</v>
      </c>
      <c r="X27" s="16">
        <f t="shared" si="18"/>
        <v>4</v>
      </c>
      <c r="Y27" s="17">
        <v>13</v>
      </c>
      <c r="Z27" s="15">
        <v>0</v>
      </c>
      <c r="AA27" s="16">
        <f t="shared" si="19"/>
        <v>13</v>
      </c>
      <c r="AB27" s="17">
        <v>21</v>
      </c>
      <c r="AC27" s="15">
        <v>0</v>
      </c>
      <c r="AD27" s="16">
        <f t="shared" si="20"/>
        <v>21</v>
      </c>
    </row>
    <row r="28" spans="1:30" ht="15.75" thickBot="1" x14ac:dyDescent="0.3">
      <c r="A28" s="154"/>
      <c r="B28" s="150"/>
      <c r="C28" s="10" t="s">
        <v>58</v>
      </c>
      <c r="D28" s="17">
        <v>34</v>
      </c>
      <c r="E28" s="15">
        <v>19</v>
      </c>
      <c r="F28" s="16">
        <f t="shared" si="12"/>
        <v>53</v>
      </c>
      <c r="G28" s="17">
        <v>15</v>
      </c>
      <c r="H28" s="15">
        <v>12</v>
      </c>
      <c r="I28" s="16">
        <f t="shared" si="13"/>
        <v>27</v>
      </c>
      <c r="J28" s="17">
        <v>24</v>
      </c>
      <c r="K28" s="15">
        <v>23</v>
      </c>
      <c r="L28" s="16">
        <f t="shared" si="14"/>
        <v>47</v>
      </c>
      <c r="M28" s="17">
        <v>31</v>
      </c>
      <c r="N28" s="15">
        <v>17</v>
      </c>
      <c r="O28" s="16">
        <f t="shared" si="15"/>
        <v>48</v>
      </c>
      <c r="P28" s="17">
        <v>42</v>
      </c>
      <c r="Q28" s="15">
        <v>20</v>
      </c>
      <c r="R28" s="16">
        <f t="shared" si="16"/>
        <v>62</v>
      </c>
      <c r="S28" s="17">
        <v>35</v>
      </c>
      <c r="T28" s="15">
        <v>21</v>
      </c>
      <c r="U28" s="16">
        <f t="shared" si="17"/>
        <v>56</v>
      </c>
      <c r="V28" s="17">
        <v>28</v>
      </c>
      <c r="W28" s="15">
        <v>20</v>
      </c>
      <c r="X28" s="16">
        <f t="shared" si="18"/>
        <v>48</v>
      </c>
      <c r="Y28" s="17">
        <v>25</v>
      </c>
      <c r="Z28" s="15">
        <v>15</v>
      </c>
      <c r="AA28" s="16">
        <f t="shared" si="19"/>
        <v>40</v>
      </c>
      <c r="AB28" s="17">
        <v>27</v>
      </c>
      <c r="AC28" s="15">
        <v>9</v>
      </c>
      <c r="AD28" s="16">
        <f t="shared" si="20"/>
        <v>36</v>
      </c>
    </row>
    <row r="29" spans="1:30" ht="15.75" thickBot="1" x14ac:dyDescent="0.3">
      <c r="A29" s="154"/>
      <c r="B29" s="150"/>
      <c r="C29" s="10" t="s">
        <v>59</v>
      </c>
      <c r="D29" s="17">
        <v>424</v>
      </c>
      <c r="E29" s="15">
        <v>53</v>
      </c>
      <c r="F29" s="16">
        <f t="shared" si="12"/>
        <v>477</v>
      </c>
      <c r="G29" s="17">
        <v>324</v>
      </c>
      <c r="H29" s="15">
        <v>38</v>
      </c>
      <c r="I29" s="16">
        <f t="shared" si="13"/>
        <v>362</v>
      </c>
      <c r="J29" s="17">
        <v>461</v>
      </c>
      <c r="K29" s="15">
        <v>50</v>
      </c>
      <c r="L29" s="16">
        <f t="shared" si="14"/>
        <v>511</v>
      </c>
      <c r="M29" s="17">
        <v>484</v>
      </c>
      <c r="N29" s="15">
        <v>42</v>
      </c>
      <c r="O29" s="16">
        <f t="shared" si="15"/>
        <v>526</v>
      </c>
      <c r="P29" s="17">
        <v>519</v>
      </c>
      <c r="Q29" s="15">
        <v>70</v>
      </c>
      <c r="R29" s="16">
        <f t="shared" si="16"/>
        <v>589</v>
      </c>
      <c r="S29" s="17">
        <v>512</v>
      </c>
      <c r="T29" s="15">
        <v>71</v>
      </c>
      <c r="U29" s="16">
        <f t="shared" si="17"/>
        <v>583</v>
      </c>
      <c r="V29" s="17">
        <v>524</v>
      </c>
      <c r="W29" s="15">
        <v>81</v>
      </c>
      <c r="X29" s="16">
        <f t="shared" si="18"/>
        <v>605</v>
      </c>
      <c r="Y29" s="17">
        <v>538</v>
      </c>
      <c r="Z29" s="15">
        <v>81</v>
      </c>
      <c r="AA29" s="16">
        <f t="shared" si="19"/>
        <v>619</v>
      </c>
      <c r="AB29" s="17">
        <v>566</v>
      </c>
      <c r="AC29" s="15">
        <v>113</v>
      </c>
      <c r="AD29" s="16">
        <f t="shared" si="20"/>
        <v>679</v>
      </c>
    </row>
    <row r="30" spans="1:30" ht="15.75" thickBot="1" x14ac:dyDescent="0.3">
      <c r="A30" s="154"/>
      <c r="B30" s="151"/>
      <c r="C30" s="11" t="s">
        <v>5</v>
      </c>
      <c r="D30" s="20">
        <f t="shared" ref="D30:X30" si="21">SUM(D21:D29)</f>
        <v>1208</v>
      </c>
      <c r="E30" s="18">
        <f t="shared" si="21"/>
        <v>1170</v>
      </c>
      <c r="F30" s="19">
        <f t="shared" si="21"/>
        <v>2378</v>
      </c>
      <c r="G30" s="20">
        <f t="shared" si="21"/>
        <v>938</v>
      </c>
      <c r="H30" s="18">
        <f t="shared" si="21"/>
        <v>962</v>
      </c>
      <c r="I30" s="19">
        <f t="shared" si="21"/>
        <v>1900</v>
      </c>
      <c r="J30" s="20">
        <f t="shared" si="21"/>
        <v>1294</v>
      </c>
      <c r="K30" s="18">
        <f t="shared" si="21"/>
        <v>1308</v>
      </c>
      <c r="L30" s="19">
        <f t="shared" si="21"/>
        <v>2602</v>
      </c>
      <c r="M30" s="20">
        <f t="shared" si="21"/>
        <v>1157</v>
      </c>
      <c r="N30" s="18">
        <f t="shared" si="21"/>
        <v>977</v>
      </c>
      <c r="O30" s="19">
        <f t="shared" si="21"/>
        <v>2134</v>
      </c>
      <c r="P30" s="20">
        <f t="shared" si="21"/>
        <v>1231</v>
      </c>
      <c r="Q30" s="18">
        <f t="shared" si="21"/>
        <v>1009</v>
      </c>
      <c r="R30" s="19">
        <f t="shared" si="21"/>
        <v>2240</v>
      </c>
      <c r="S30" s="20">
        <f t="shared" si="21"/>
        <v>1183</v>
      </c>
      <c r="T30" s="18">
        <f t="shared" si="21"/>
        <v>1049</v>
      </c>
      <c r="U30" s="19">
        <f t="shared" si="21"/>
        <v>2232</v>
      </c>
      <c r="V30" s="20">
        <f t="shared" si="21"/>
        <v>1300</v>
      </c>
      <c r="W30" s="18">
        <f t="shared" si="21"/>
        <v>1042</v>
      </c>
      <c r="X30" s="19">
        <f t="shared" si="21"/>
        <v>2342</v>
      </c>
      <c r="Y30" s="20">
        <f t="shared" ref="Y30:AA30" si="22">SUM(Y21:Y29)</f>
        <v>1342</v>
      </c>
      <c r="Z30" s="18">
        <f t="shared" si="22"/>
        <v>1131</v>
      </c>
      <c r="AA30" s="19">
        <f t="shared" si="22"/>
        <v>2473</v>
      </c>
      <c r="AB30" s="20">
        <f t="shared" ref="AB30:AD30" si="23">SUM(AB21:AB29)</f>
        <v>1340</v>
      </c>
      <c r="AC30" s="18">
        <f t="shared" si="23"/>
        <v>1152</v>
      </c>
      <c r="AD30" s="19">
        <f t="shared" si="23"/>
        <v>2492</v>
      </c>
    </row>
    <row r="31" spans="1:30" ht="15.75" thickBot="1" x14ac:dyDescent="0.3">
      <c r="A31" s="155"/>
      <c r="B31" s="152" t="s">
        <v>6</v>
      </c>
      <c r="C31" s="153"/>
      <c r="D31" s="90">
        <f t="shared" ref="D31:X31" si="24">D20+D30</f>
        <v>5896</v>
      </c>
      <c r="E31" s="91">
        <f t="shared" si="24"/>
        <v>11174</v>
      </c>
      <c r="F31" s="92">
        <f t="shared" si="24"/>
        <v>17070</v>
      </c>
      <c r="G31" s="90">
        <f t="shared" si="24"/>
        <v>5558</v>
      </c>
      <c r="H31" s="91">
        <f t="shared" si="24"/>
        <v>10908</v>
      </c>
      <c r="I31" s="92">
        <f t="shared" si="24"/>
        <v>16466</v>
      </c>
      <c r="J31" s="90">
        <f t="shared" si="24"/>
        <v>5776</v>
      </c>
      <c r="K31" s="91">
        <f t="shared" si="24"/>
        <v>10748</v>
      </c>
      <c r="L31" s="92">
        <f t="shared" si="24"/>
        <v>16524</v>
      </c>
      <c r="M31" s="90">
        <f t="shared" si="24"/>
        <v>5527</v>
      </c>
      <c r="N31" s="91">
        <f t="shared" si="24"/>
        <v>9994</v>
      </c>
      <c r="O31" s="92">
        <f t="shared" si="24"/>
        <v>15521</v>
      </c>
      <c r="P31" s="90">
        <f t="shared" si="24"/>
        <v>5581</v>
      </c>
      <c r="Q31" s="91">
        <f t="shared" si="24"/>
        <v>9047</v>
      </c>
      <c r="R31" s="92">
        <f t="shared" si="24"/>
        <v>14628</v>
      </c>
      <c r="S31" s="90">
        <f t="shared" si="24"/>
        <v>5881</v>
      </c>
      <c r="T31" s="91">
        <f t="shared" si="24"/>
        <v>10076</v>
      </c>
      <c r="U31" s="92">
        <f t="shared" si="24"/>
        <v>15957</v>
      </c>
      <c r="V31" s="90">
        <f t="shared" si="24"/>
        <v>6063</v>
      </c>
      <c r="W31" s="91">
        <f t="shared" si="24"/>
        <v>10020</v>
      </c>
      <c r="X31" s="92">
        <f t="shared" si="24"/>
        <v>16083</v>
      </c>
      <c r="Y31" s="90">
        <f t="shared" ref="Y31:AA31" si="25">Y20+Y30</f>
        <v>5715</v>
      </c>
      <c r="Z31" s="91">
        <f t="shared" si="25"/>
        <v>9977</v>
      </c>
      <c r="AA31" s="92">
        <f t="shared" si="25"/>
        <v>15692</v>
      </c>
      <c r="AB31" s="90">
        <f t="shared" ref="AB31:AD31" si="26">AB20+AB30</f>
        <v>5457</v>
      </c>
      <c r="AC31" s="91">
        <f t="shared" si="26"/>
        <v>9323</v>
      </c>
      <c r="AD31" s="92">
        <f t="shared" si="26"/>
        <v>14780</v>
      </c>
    </row>
    <row r="32" spans="1:30" ht="15.75" thickBot="1" x14ac:dyDescent="0.3">
      <c r="A32" s="147" t="s">
        <v>7</v>
      </c>
      <c r="B32" s="156" t="s">
        <v>1</v>
      </c>
      <c r="C32" s="58" t="s">
        <v>10</v>
      </c>
      <c r="D32" s="59">
        <v>158</v>
      </c>
      <c r="E32" s="60">
        <v>244</v>
      </c>
      <c r="F32" s="61">
        <f t="shared" ref="F32:F34" si="27">SUM(D32:E32)</f>
        <v>402</v>
      </c>
      <c r="G32" s="59">
        <v>187</v>
      </c>
      <c r="H32" s="60">
        <v>256</v>
      </c>
      <c r="I32" s="61">
        <f t="shared" ref="I32:I34" si="28">SUM(G32:H32)</f>
        <v>443</v>
      </c>
      <c r="J32" s="59">
        <v>105</v>
      </c>
      <c r="K32" s="60">
        <v>189</v>
      </c>
      <c r="L32" s="61">
        <f t="shared" ref="L32:L34" si="29">SUM(J32:K32)</f>
        <v>294</v>
      </c>
      <c r="M32" s="59">
        <v>120</v>
      </c>
      <c r="N32" s="60">
        <v>192</v>
      </c>
      <c r="O32" s="61">
        <f t="shared" ref="O32:O34" si="30">SUM(M32:N32)</f>
        <v>312</v>
      </c>
      <c r="P32" s="59">
        <v>99</v>
      </c>
      <c r="Q32" s="60">
        <f>313-86</f>
        <v>227</v>
      </c>
      <c r="R32" s="61">
        <f t="shared" ref="R32:R34" si="31">SUM(P32:Q32)</f>
        <v>326</v>
      </c>
      <c r="S32" s="59">
        <v>109</v>
      </c>
      <c r="T32" s="60">
        <v>206</v>
      </c>
      <c r="U32" s="61">
        <f t="shared" ref="U32:U34" si="32">SUM(S32:T32)</f>
        <v>315</v>
      </c>
      <c r="V32" s="59">
        <v>121</v>
      </c>
      <c r="W32" s="60">
        <v>215</v>
      </c>
      <c r="X32" s="61">
        <f t="shared" ref="X32:X34" si="33">SUM(V32:W32)</f>
        <v>336</v>
      </c>
      <c r="Y32" s="59">
        <v>115</v>
      </c>
      <c r="Z32" s="60">
        <v>217</v>
      </c>
      <c r="AA32" s="61">
        <f t="shared" ref="AA32:AA34" si="34">SUM(Y32:Z32)</f>
        <v>332</v>
      </c>
      <c r="AB32" s="59">
        <v>101</v>
      </c>
      <c r="AC32" s="60">
        <v>239</v>
      </c>
      <c r="AD32" s="61">
        <f t="shared" ref="AD32:AD34" si="35">SUM(AB32:AC32)</f>
        <v>340</v>
      </c>
    </row>
    <row r="33" spans="1:30" ht="15.75" thickBot="1" x14ac:dyDescent="0.3">
      <c r="A33" s="147"/>
      <c r="B33" s="156"/>
      <c r="C33" s="66" t="s">
        <v>9</v>
      </c>
      <c r="D33" s="67">
        <v>3</v>
      </c>
      <c r="E33" s="68">
        <v>3</v>
      </c>
      <c r="F33" s="69">
        <f t="shared" si="27"/>
        <v>6</v>
      </c>
      <c r="G33" s="67">
        <v>2</v>
      </c>
      <c r="H33" s="68">
        <v>2</v>
      </c>
      <c r="I33" s="69">
        <f t="shared" si="28"/>
        <v>4</v>
      </c>
      <c r="J33" s="67">
        <v>2</v>
      </c>
      <c r="K33" s="68">
        <v>6</v>
      </c>
      <c r="L33" s="69">
        <f t="shared" si="29"/>
        <v>8</v>
      </c>
      <c r="M33" s="67"/>
      <c r="N33" s="68">
        <v>1</v>
      </c>
      <c r="O33" s="69">
        <f t="shared" si="30"/>
        <v>1</v>
      </c>
      <c r="P33" s="67">
        <v>2</v>
      </c>
      <c r="Q33" s="68">
        <v>4</v>
      </c>
      <c r="R33" s="69">
        <f t="shared" si="31"/>
        <v>6</v>
      </c>
      <c r="S33" s="67">
        <v>1</v>
      </c>
      <c r="T33" s="68">
        <v>4</v>
      </c>
      <c r="U33" s="69">
        <f t="shared" si="32"/>
        <v>5</v>
      </c>
      <c r="V33" s="67">
        <v>2</v>
      </c>
      <c r="W33" s="68">
        <v>3</v>
      </c>
      <c r="X33" s="69">
        <f t="shared" si="33"/>
        <v>5</v>
      </c>
      <c r="Y33" s="67">
        <v>1</v>
      </c>
      <c r="Z33" s="68">
        <v>7</v>
      </c>
      <c r="AA33" s="69">
        <f t="shared" si="34"/>
        <v>8</v>
      </c>
      <c r="AB33" s="67">
        <v>1</v>
      </c>
      <c r="AC33" s="68">
        <v>4</v>
      </c>
      <c r="AD33" s="69">
        <f t="shared" si="35"/>
        <v>5</v>
      </c>
    </row>
    <row r="34" spans="1:30" ht="15.75" thickBot="1" x14ac:dyDescent="0.3">
      <c r="A34" s="147"/>
      <c r="B34" s="156"/>
      <c r="C34" s="66" t="s">
        <v>8</v>
      </c>
      <c r="D34" s="67">
        <v>61</v>
      </c>
      <c r="E34" s="68">
        <v>38</v>
      </c>
      <c r="F34" s="69">
        <f t="shared" si="27"/>
        <v>99</v>
      </c>
      <c r="G34" s="67">
        <v>68</v>
      </c>
      <c r="H34" s="68">
        <v>37</v>
      </c>
      <c r="I34" s="69">
        <f t="shared" si="28"/>
        <v>105</v>
      </c>
      <c r="J34" s="67">
        <v>59</v>
      </c>
      <c r="K34" s="68">
        <v>50</v>
      </c>
      <c r="L34" s="69">
        <f t="shared" si="29"/>
        <v>109</v>
      </c>
      <c r="M34" s="67">
        <v>61</v>
      </c>
      <c r="N34" s="68">
        <v>37</v>
      </c>
      <c r="O34" s="69">
        <f t="shared" si="30"/>
        <v>98</v>
      </c>
      <c r="P34" s="67">
        <v>83</v>
      </c>
      <c r="Q34" s="68">
        <v>30</v>
      </c>
      <c r="R34" s="69">
        <f t="shared" si="31"/>
        <v>113</v>
      </c>
      <c r="S34" s="67">
        <v>89</v>
      </c>
      <c r="T34" s="68">
        <v>39</v>
      </c>
      <c r="U34" s="69">
        <f t="shared" si="32"/>
        <v>128</v>
      </c>
      <c r="V34" s="67">
        <v>73</v>
      </c>
      <c r="W34" s="68">
        <v>37</v>
      </c>
      <c r="X34" s="69">
        <f t="shared" si="33"/>
        <v>110</v>
      </c>
      <c r="Y34" s="67">
        <v>68</v>
      </c>
      <c r="Z34" s="68">
        <v>41</v>
      </c>
      <c r="AA34" s="69">
        <f t="shared" si="34"/>
        <v>109</v>
      </c>
      <c r="AB34" s="67">
        <v>65</v>
      </c>
      <c r="AC34" s="68">
        <v>44</v>
      </c>
      <c r="AD34" s="69">
        <f t="shared" si="35"/>
        <v>109</v>
      </c>
    </row>
    <row r="35" spans="1:30" ht="15.75" thickBot="1" x14ac:dyDescent="0.3">
      <c r="A35" s="147"/>
      <c r="B35" s="156"/>
      <c r="C35" s="73" t="s">
        <v>5</v>
      </c>
      <c r="D35" s="74">
        <f t="shared" ref="D35:X35" si="36">SUM(D32:D34)</f>
        <v>222</v>
      </c>
      <c r="E35" s="75">
        <f t="shared" si="36"/>
        <v>285</v>
      </c>
      <c r="F35" s="76">
        <f t="shared" si="36"/>
        <v>507</v>
      </c>
      <c r="G35" s="74">
        <f t="shared" si="36"/>
        <v>257</v>
      </c>
      <c r="H35" s="75">
        <f t="shared" si="36"/>
        <v>295</v>
      </c>
      <c r="I35" s="76">
        <f t="shared" si="36"/>
        <v>552</v>
      </c>
      <c r="J35" s="74">
        <f t="shared" si="36"/>
        <v>166</v>
      </c>
      <c r="K35" s="75">
        <f t="shared" si="36"/>
        <v>245</v>
      </c>
      <c r="L35" s="76">
        <f t="shared" si="36"/>
        <v>411</v>
      </c>
      <c r="M35" s="74">
        <f t="shared" si="36"/>
        <v>181</v>
      </c>
      <c r="N35" s="75">
        <f t="shared" si="36"/>
        <v>230</v>
      </c>
      <c r="O35" s="76">
        <f t="shared" si="36"/>
        <v>411</v>
      </c>
      <c r="P35" s="74">
        <f t="shared" si="36"/>
        <v>184</v>
      </c>
      <c r="Q35" s="75">
        <f t="shared" si="36"/>
        <v>261</v>
      </c>
      <c r="R35" s="76">
        <f t="shared" si="36"/>
        <v>445</v>
      </c>
      <c r="S35" s="74">
        <f t="shared" si="36"/>
        <v>199</v>
      </c>
      <c r="T35" s="75">
        <f t="shared" si="36"/>
        <v>249</v>
      </c>
      <c r="U35" s="76">
        <f t="shared" si="36"/>
        <v>448</v>
      </c>
      <c r="V35" s="74">
        <f t="shared" si="36"/>
        <v>196</v>
      </c>
      <c r="W35" s="75">
        <f t="shared" si="36"/>
        <v>255</v>
      </c>
      <c r="X35" s="76">
        <f t="shared" si="36"/>
        <v>451</v>
      </c>
      <c r="Y35" s="74">
        <f t="shared" ref="Y35:AA35" si="37">SUM(Y32:Y34)</f>
        <v>184</v>
      </c>
      <c r="Z35" s="75">
        <f t="shared" si="37"/>
        <v>265</v>
      </c>
      <c r="AA35" s="76">
        <f t="shared" si="37"/>
        <v>449</v>
      </c>
      <c r="AB35" s="74">
        <f t="shared" ref="AB35:AD35" si="38">SUM(AB32:AB34)</f>
        <v>167</v>
      </c>
      <c r="AC35" s="75">
        <f t="shared" si="38"/>
        <v>287</v>
      </c>
      <c r="AD35" s="76">
        <f t="shared" si="38"/>
        <v>454</v>
      </c>
    </row>
    <row r="36" spans="1:30" ht="15.75" thickBot="1" x14ac:dyDescent="0.3">
      <c r="A36" s="147"/>
      <c r="B36" s="157" t="s">
        <v>4</v>
      </c>
      <c r="C36" s="80" t="s">
        <v>10</v>
      </c>
      <c r="D36" s="67">
        <v>134</v>
      </c>
      <c r="E36" s="68">
        <v>273</v>
      </c>
      <c r="F36" s="69">
        <f t="shared" ref="F36:F40" si="39">SUM(D36:E36)</f>
        <v>407</v>
      </c>
      <c r="G36" s="67">
        <v>138</v>
      </c>
      <c r="H36" s="68">
        <v>322</v>
      </c>
      <c r="I36" s="69">
        <f t="shared" ref="I36:I40" si="40">SUM(G36:H36)</f>
        <v>460</v>
      </c>
      <c r="J36" s="67">
        <v>122</v>
      </c>
      <c r="K36" s="68">
        <v>285</v>
      </c>
      <c r="L36" s="69">
        <f t="shared" ref="L36:L40" si="41">SUM(J36:K36)</f>
        <v>407</v>
      </c>
      <c r="M36" s="67">
        <v>123</v>
      </c>
      <c r="N36" s="68">
        <v>252</v>
      </c>
      <c r="O36" s="69">
        <f t="shared" ref="O36:O40" si="42">SUM(M36:N36)</f>
        <v>375</v>
      </c>
      <c r="P36" s="67">
        <v>124</v>
      </c>
      <c r="Q36" s="68">
        <v>246</v>
      </c>
      <c r="R36" s="69">
        <f t="shared" ref="R36:R40" si="43">SUM(P36:Q36)</f>
        <v>370</v>
      </c>
      <c r="S36" s="67">
        <v>114</v>
      </c>
      <c r="T36" s="68">
        <v>309</v>
      </c>
      <c r="U36" s="69">
        <f t="shared" ref="U36:U40" si="44">SUM(S36:T36)</f>
        <v>423</v>
      </c>
      <c r="V36" s="67">
        <v>121</v>
      </c>
      <c r="W36" s="68">
        <v>305</v>
      </c>
      <c r="X36" s="69">
        <f t="shared" ref="X36:X40" si="45">SUM(V36:W36)</f>
        <v>426</v>
      </c>
      <c r="Y36" s="67">
        <v>130</v>
      </c>
      <c r="Z36" s="68">
        <v>293</v>
      </c>
      <c r="AA36" s="69">
        <f t="shared" ref="AA36:AA40" si="46">SUM(Y36:Z36)</f>
        <v>423</v>
      </c>
      <c r="AB36" s="67">
        <v>142</v>
      </c>
      <c r="AC36" s="68">
        <v>324</v>
      </c>
      <c r="AD36" s="69">
        <f t="shared" ref="AD36:AD40" si="47">SUM(AB36:AC36)</f>
        <v>466</v>
      </c>
    </row>
    <row r="37" spans="1:30" ht="15.75" thickBot="1" x14ac:dyDescent="0.3">
      <c r="A37" s="147"/>
      <c r="B37" s="157"/>
      <c r="C37" s="80" t="s">
        <v>9</v>
      </c>
      <c r="D37" s="67">
        <v>88</v>
      </c>
      <c r="E37" s="68">
        <v>126</v>
      </c>
      <c r="F37" s="69">
        <f t="shared" si="39"/>
        <v>214</v>
      </c>
      <c r="G37" s="67">
        <v>58</v>
      </c>
      <c r="H37" s="68">
        <v>60</v>
      </c>
      <c r="I37" s="69">
        <f t="shared" si="40"/>
        <v>118</v>
      </c>
      <c r="J37" s="67">
        <v>95</v>
      </c>
      <c r="K37" s="68">
        <v>114</v>
      </c>
      <c r="L37" s="69">
        <f t="shared" si="41"/>
        <v>209</v>
      </c>
      <c r="M37" s="67">
        <v>96</v>
      </c>
      <c r="N37" s="68">
        <v>90</v>
      </c>
      <c r="O37" s="69">
        <f t="shared" si="42"/>
        <v>186</v>
      </c>
      <c r="P37" s="67">
        <v>106</v>
      </c>
      <c r="Q37" s="68">
        <v>124</v>
      </c>
      <c r="R37" s="69">
        <f t="shared" si="43"/>
        <v>230</v>
      </c>
      <c r="S37" s="67">
        <v>124</v>
      </c>
      <c r="T37" s="68">
        <v>130</v>
      </c>
      <c r="U37" s="69">
        <f t="shared" si="44"/>
        <v>254</v>
      </c>
      <c r="V37" s="67">
        <v>126</v>
      </c>
      <c r="W37" s="68">
        <v>123</v>
      </c>
      <c r="X37" s="69">
        <f t="shared" si="45"/>
        <v>249</v>
      </c>
      <c r="Y37" s="67">
        <v>127</v>
      </c>
      <c r="Z37" s="68">
        <v>134</v>
      </c>
      <c r="AA37" s="69">
        <f t="shared" si="46"/>
        <v>261</v>
      </c>
      <c r="AB37" s="67">
        <v>153</v>
      </c>
      <c r="AC37" s="68">
        <v>195</v>
      </c>
      <c r="AD37" s="69">
        <f t="shared" si="47"/>
        <v>348</v>
      </c>
    </row>
    <row r="38" spans="1:30" ht="15.75" thickBot="1" x14ac:dyDescent="0.3">
      <c r="A38" s="147"/>
      <c r="B38" s="157"/>
      <c r="C38" s="80" t="s">
        <v>11</v>
      </c>
      <c r="D38" s="67">
        <v>31</v>
      </c>
      <c r="E38" s="68">
        <v>44</v>
      </c>
      <c r="F38" s="69">
        <f t="shared" si="39"/>
        <v>75</v>
      </c>
      <c r="G38" s="67">
        <v>27</v>
      </c>
      <c r="H38" s="68">
        <v>38</v>
      </c>
      <c r="I38" s="69">
        <f t="shared" si="40"/>
        <v>65</v>
      </c>
      <c r="J38" s="67">
        <v>33</v>
      </c>
      <c r="K38" s="68">
        <v>55</v>
      </c>
      <c r="L38" s="69">
        <f t="shared" si="41"/>
        <v>88</v>
      </c>
      <c r="M38" s="67">
        <v>11</v>
      </c>
      <c r="N38" s="68">
        <v>16</v>
      </c>
      <c r="O38" s="69">
        <f t="shared" si="42"/>
        <v>27</v>
      </c>
      <c r="P38" s="67">
        <v>23</v>
      </c>
      <c r="Q38" s="68">
        <v>33</v>
      </c>
      <c r="R38" s="69">
        <f t="shared" si="43"/>
        <v>56</v>
      </c>
      <c r="S38" s="67">
        <v>21</v>
      </c>
      <c r="T38" s="68">
        <v>23</v>
      </c>
      <c r="U38" s="69">
        <f t="shared" si="44"/>
        <v>44</v>
      </c>
      <c r="V38" s="67">
        <v>26</v>
      </c>
      <c r="W38" s="68">
        <v>40</v>
      </c>
      <c r="X38" s="69">
        <f t="shared" si="45"/>
        <v>66</v>
      </c>
      <c r="Y38" s="67">
        <v>25</v>
      </c>
      <c r="Z38" s="68">
        <v>34</v>
      </c>
      <c r="AA38" s="69">
        <f t="shared" si="46"/>
        <v>59</v>
      </c>
      <c r="AB38" s="67">
        <v>31</v>
      </c>
      <c r="AC38" s="68">
        <v>45</v>
      </c>
      <c r="AD38" s="69">
        <f t="shared" si="47"/>
        <v>76</v>
      </c>
    </row>
    <row r="39" spans="1:30" ht="15.75" thickBot="1" x14ac:dyDescent="0.3">
      <c r="A39" s="147"/>
      <c r="B39" s="157"/>
      <c r="C39" s="80" t="s">
        <v>77</v>
      </c>
      <c r="D39" s="119"/>
      <c r="E39" s="120"/>
      <c r="F39" s="121"/>
      <c r="G39" s="119"/>
      <c r="H39" s="120"/>
      <c r="I39" s="121"/>
      <c r="J39" s="119"/>
      <c r="K39" s="120"/>
      <c r="L39" s="121"/>
      <c r="M39" s="119"/>
      <c r="N39" s="120"/>
      <c r="O39" s="121"/>
      <c r="P39" s="119"/>
      <c r="Q39" s="120"/>
      <c r="R39" s="121"/>
      <c r="S39" s="119"/>
      <c r="T39" s="120"/>
      <c r="U39" s="121"/>
      <c r="V39" s="119"/>
      <c r="W39" s="120"/>
      <c r="X39" s="121"/>
      <c r="Y39" s="119"/>
      <c r="Z39" s="120"/>
      <c r="AA39" s="121"/>
      <c r="AB39" s="67">
        <v>3</v>
      </c>
      <c r="AC39" s="68">
        <v>6</v>
      </c>
      <c r="AD39" s="69">
        <f t="shared" si="47"/>
        <v>9</v>
      </c>
    </row>
    <row r="40" spans="1:30" ht="15.75" thickBot="1" x14ac:dyDescent="0.3">
      <c r="A40" s="147"/>
      <c r="B40" s="157"/>
      <c r="C40" s="80" t="s">
        <v>8</v>
      </c>
      <c r="D40" s="67">
        <v>9</v>
      </c>
      <c r="E40" s="68">
        <v>10</v>
      </c>
      <c r="F40" s="69">
        <f t="shared" si="39"/>
        <v>19</v>
      </c>
      <c r="G40" s="67">
        <v>60</v>
      </c>
      <c r="H40" s="68">
        <v>50</v>
      </c>
      <c r="I40" s="69">
        <f t="shared" si="40"/>
        <v>110</v>
      </c>
      <c r="J40" s="67">
        <v>64</v>
      </c>
      <c r="K40" s="68">
        <v>49</v>
      </c>
      <c r="L40" s="69">
        <f t="shared" si="41"/>
        <v>113</v>
      </c>
      <c r="M40" s="67">
        <v>53</v>
      </c>
      <c r="N40" s="68">
        <v>33</v>
      </c>
      <c r="O40" s="69">
        <f t="shared" si="42"/>
        <v>86</v>
      </c>
      <c r="P40" s="67">
        <v>36</v>
      </c>
      <c r="Q40" s="68">
        <v>44</v>
      </c>
      <c r="R40" s="69">
        <f t="shared" si="43"/>
        <v>80</v>
      </c>
      <c r="S40" s="67">
        <v>74</v>
      </c>
      <c r="T40" s="68">
        <v>51</v>
      </c>
      <c r="U40" s="69">
        <f t="shared" si="44"/>
        <v>125</v>
      </c>
      <c r="V40" s="67">
        <v>60</v>
      </c>
      <c r="W40" s="68">
        <v>43</v>
      </c>
      <c r="X40" s="69">
        <f t="shared" si="45"/>
        <v>103</v>
      </c>
      <c r="Y40" s="67">
        <v>47</v>
      </c>
      <c r="Z40" s="68">
        <v>36</v>
      </c>
      <c r="AA40" s="69">
        <f t="shared" si="46"/>
        <v>83</v>
      </c>
      <c r="AB40" s="67">
        <v>58</v>
      </c>
      <c r="AC40" s="68">
        <v>60</v>
      </c>
      <c r="AD40" s="69">
        <f t="shared" si="47"/>
        <v>118</v>
      </c>
    </row>
    <row r="41" spans="1:30" ht="15.75" thickBot="1" x14ac:dyDescent="0.3">
      <c r="A41" s="147"/>
      <c r="B41" s="157"/>
      <c r="C41" s="81" t="s">
        <v>5</v>
      </c>
      <c r="D41" s="82">
        <f t="shared" ref="D41:X41" si="48">SUM(D36:D40)</f>
        <v>262</v>
      </c>
      <c r="E41" s="83">
        <f t="shared" si="48"/>
        <v>453</v>
      </c>
      <c r="F41" s="84">
        <f t="shared" si="48"/>
        <v>715</v>
      </c>
      <c r="G41" s="82">
        <f t="shared" si="48"/>
        <v>283</v>
      </c>
      <c r="H41" s="83">
        <f t="shared" si="48"/>
        <v>470</v>
      </c>
      <c r="I41" s="84">
        <f t="shared" si="48"/>
        <v>753</v>
      </c>
      <c r="J41" s="82">
        <f t="shared" si="48"/>
        <v>314</v>
      </c>
      <c r="K41" s="83">
        <f t="shared" si="48"/>
        <v>503</v>
      </c>
      <c r="L41" s="84">
        <f t="shared" si="48"/>
        <v>817</v>
      </c>
      <c r="M41" s="82">
        <f t="shared" si="48"/>
        <v>283</v>
      </c>
      <c r="N41" s="83">
        <f t="shared" si="48"/>
        <v>391</v>
      </c>
      <c r="O41" s="84">
        <f t="shared" si="48"/>
        <v>674</v>
      </c>
      <c r="P41" s="82">
        <f t="shared" si="48"/>
        <v>289</v>
      </c>
      <c r="Q41" s="83">
        <f t="shared" si="48"/>
        <v>447</v>
      </c>
      <c r="R41" s="84">
        <f t="shared" si="48"/>
        <v>736</v>
      </c>
      <c r="S41" s="82">
        <f t="shared" si="48"/>
        <v>333</v>
      </c>
      <c r="T41" s="83">
        <f t="shared" si="48"/>
        <v>513</v>
      </c>
      <c r="U41" s="84">
        <f t="shared" si="48"/>
        <v>846</v>
      </c>
      <c r="V41" s="82">
        <f t="shared" si="48"/>
        <v>333</v>
      </c>
      <c r="W41" s="83">
        <f t="shared" si="48"/>
        <v>511</v>
      </c>
      <c r="X41" s="84">
        <f t="shared" si="48"/>
        <v>844</v>
      </c>
      <c r="Y41" s="82">
        <f t="shared" ref="Y41:AA41" si="49">SUM(Y36:Y40)</f>
        <v>329</v>
      </c>
      <c r="Z41" s="83">
        <f t="shared" si="49"/>
        <v>497</v>
      </c>
      <c r="AA41" s="84">
        <f t="shared" si="49"/>
        <v>826</v>
      </c>
      <c r="AB41" s="82">
        <f t="shared" ref="AB41:AD41" si="50">SUM(AB36:AB40)</f>
        <v>387</v>
      </c>
      <c r="AC41" s="83">
        <f t="shared" si="50"/>
        <v>630</v>
      </c>
      <c r="AD41" s="84">
        <f t="shared" si="50"/>
        <v>1017</v>
      </c>
    </row>
    <row r="42" spans="1:30" ht="15.75" thickBot="1" x14ac:dyDescent="0.3">
      <c r="A42" s="148"/>
      <c r="B42" s="158" t="s">
        <v>16</v>
      </c>
      <c r="C42" s="159"/>
      <c r="D42" s="96">
        <f t="shared" ref="D42:X42" si="51">D35+D41</f>
        <v>484</v>
      </c>
      <c r="E42" s="97">
        <f t="shared" si="51"/>
        <v>738</v>
      </c>
      <c r="F42" s="98">
        <f t="shared" si="51"/>
        <v>1222</v>
      </c>
      <c r="G42" s="96">
        <f t="shared" si="51"/>
        <v>540</v>
      </c>
      <c r="H42" s="97">
        <f t="shared" si="51"/>
        <v>765</v>
      </c>
      <c r="I42" s="98">
        <f t="shared" si="51"/>
        <v>1305</v>
      </c>
      <c r="J42" s="96">
        <f t="shared" si="51"/>
        <v>480</v>
      </c>
      <c r="K42" s="97">
        <f t="shared" si="51"/>
        <v>748</v>
      </c>
      <c r="L42" s="98">
        <f t="shared" si="51"/>
        <v>1228</v>
      </c>
      <c r="M42" s="96">
        <f t="shared" si="51"/>
        <v>464</v>
      </c>
      <c r="N42" s="97">
        <f t="shared" si="51"/>
        <v>621</v>
      </c>
      <c r="O42" s="98">
        <f t="shared" si="51"/>
        <v>1085</v>
      </c>
      <c r="P42" s="96">
        <f t="shared" si="51"/>
        <v>473</v>
      </c>
      <c r="Q42" s="97">
        <f t="shared" si="51"/>
        <v>708</v>
      </c>
      <c r="R42" s="98">
        <f t="shared" si="51"/>
        <v>1181</v>
      </c>
      <c r="S42" s="96">
        <f t="shared" si="51"/>
        <v>532</v>
      </c>
      <c r="T42" s="97">
        <f t="shared" si="51"/>
        <v>762</v>
      </c>
      <c r="U42" s="98">
        <f t="shared" si="51"/>
        <v>1294</v>
      </c>
      <c r="V42" s="96">
        <f t="shared" si="51"/>
        <v>529</v>
      </c>
      <c r="W42" s="97">
        <f t="shared" si="51"/>
        <v>766</v>
      </c>
      <c r="X42" s="98">
        <f t="shared" si="51"/>
        <v>1295</v>
      </c>
      <c r="Y42" s="96">
        <f t="shared" ref="Y42:AA42" si="52">Y35+Y41</f>
        <v>513</v>
      </c>
      <c r="Z42" s="97">
        <f t="shared" si="52"/>
        <v>762</v>
      </c>
      <c r="AA42" s="98">
        <f t="shared" si="52"/>
        <v>1275</v>
      </c>
      <c r="AB42" s="96">
        <f t="shared" ref="AB42:AD42" si="53">AB35+AB41</f>
        <v>554</v>
      </c>
      <c r="AC42" s="97">
        <f t="shared" si="53"/>
        <v>917</v>
      </c>
      <c r="AD42" s="98">
        <f t="shared" si="53"/>
        <v>1471</v>
      </c>
    </row>
    <row r="43" spans="1:30" x14ac:dyDescent="0.25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30" ht="15.75" thickBot="1" x14ac:dyDescent="0.3"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30" ht="15.75" thickBot="1" x14ac:dyDescent="0.3">
      <c r="A45" s="160" t="s">
        <v>17</v>
      </c>
      <c r="B45" s="144" t="s">
        <v>1</v>
      </c>
      <c r="C45" s="144"/>
      <c r="D45" s="30">
        <f t="shared" ref="D45:X45" si="54">D20+D35</f>
        <v>4910</v>
      </c>
      <c r="E45" s="28">
        <f t="shared" si="54"/>
        <v>10289</v>
      </c>
      <c r="F45" s="29">
        <f t="shared" si="54"/>
        <v>15199</v>
      </c>
      <c r="G45" s="30">
        <f t="shared" si="54"/>
        <v>4877</v>
      </c>
      <c r="H45" s="28">
        <f t="shared" si="54"/>
        <v>10241</v>
      </c>
      <c r="I45" s="29">
        <f t="shared" si="54"/>
        <v>15118</v>
      </c>
      <c r="J45" s="30">
        <f t="shared" si="54"/>
        <v>4648</v>
      </c>
      <c r="K45" s="28">
        <f t="shared" si="54"/>
        <v>9685</v>
      </c>
      <c r="L45" s="29">
        <f t="shared" si="54"/>
        <v>14333</v>
      </c>
      <c r="M45" s="30">
        <f t="shared" si="54"/>
        <v>4551</v>
      </c>
      <c r="N45" s="28">
        <f t="shared" si="54"/>
        <v>9247</v>
      </c>
      <c r="O45" s="29">
        <f t="shared" si="54"/>
        <v>13798</v>
      </c>
      <c r="P45" s="30">
        <f t="shared" si="54"/>
        <v>4534</v>
      </c>
      <c r="Q45" s="28">
        <f t="shared" si="54"/>
        <v>8299</v>
      </c>
      <c r="R45" s="29">
        <f t="shared" si="54"/>
        <v>12833</v>
      </c>
      <c r="S45" s="30">
        <f t="shared" si="54"/>
        <v>4897</v>
      </c>
      <c r="T45" s="28">
        <f t="shared" si="54"/>
        <v>9276</v>
      </c>
      <c r="U45" s="29">
        <f t="shared" si="54"/>
        <v>14173</v>
      </c>
      <c r="V45" s="30">
        <f t="shared" si="54"/>
        <v>4959</v>
      </c>
      <c r="W45" s="28">
        <f t="shared" si="54"/>
        <v>9233</v>
      </c>
      <c r="X45" s="29">
        <f t="shared" si="54"/>
        <v>14192</v>
      </c>
      <c r="Y45" s="30">
        <f t="shared" ref="Y45:AA45" si="55">Y20+Y35</f>
        <v>4557</v>
      </c>
      <c r="Z45" s="28">
        <f t="shared" si="55"/>
        <v>9111</v>
      </c>
      <c r="AA45" s="29">
        <f t="shared" si="55"/>
        <v>13668</v>
      </c>
      <c r="AB45" s="30">
        <f t="shared" ref="AB45:AD45" si="56">AB20+AB35</f>
        <v>4284</v>
      </c>
      <c r="AC45" s="28">
        <f t="shared" si="56"/>
        <v>8458</v>
      </c>
      <c r="AD45" s="29">
        <f t="shared" si="56"/>
        <v>12742</v>
      </c>
    </row>
    <row r="46" spans="1:30" ht="15.75" thickBot="1" x14ac:dyDescent="0.3">
      <c r="A46" s="161"/>
      <c r="B46" s="144" t="s">
        <v>4</v>
      </c>
      <c r="C46" s="144"/>
      <c r="D46" s="30">
        <f t="shared" ref="D46:X46" si="57">D30+D41</f>
        <v>1470</v>
      </c>
      <c r="E46" s="28">
        <f t="shared" si="57"/>
        <v>1623</v>
      </c>
      <c r="F46" s="29">
        <f t="shared" si="57"/>
        <v>3093</v>
      </c>
      <c r="G46" s="30">
        <f t="shared" si="57"/>
        <v>1221</v>
      </c>
      <c r="H46" s="28">
        <f t="shared" si="57"/>
        <v>1432</v>
      </c>
      <c r="I46" s="29">
        <f t="shared" si="57"/>
        <v>2653</v>
      </c>
      <c r="J46" s="30">
        <f t="shared" si="57"/>
        <v>1608</v>
      </c>
      <c r="K46" s="28">
        <f t="shared" si="57"/>
        <v>1811</v>
      </c>
      <c r="L46" s="29">
        <f t="shared" si="57"/>
        <v>3419</v>
      </c>
      <c r="M46" s="30">
        <f t="shared" si="57"/>
        <v>1440</v>
      </c>
      <c r="N46" s="28">
        <f t="shared" si="57"/>
        <v>1368</v>
      </c>
      <c r="O46" s="29">
        <f t="shared" si="57"/>
        <v>2808</v>
      </c>
      <c r="P46" s="30">
        <f t="shared" si="57"/>
        <v>1520</v>
      </c>
      <c r="Q46" s="28">
        <f t="shared" si="57"/>
        <v>1456</v>
      </c>
      <c r="R46" s="29">
        <f t="shared" si="57"/>
        <v>2976</v>
      </c>
      <c r="S46" s="30">
        <f t="shared" si="57"/>
        <v>1516</v>
      </c>
      <c r="T46" s="28">
        <f t="shared" si="57"/>
        <v>1562</v>
      </c>
      <c r="U46" s="29">
        <f t="shared" si="57"/>
        <v>3078</v>
      </c>
      <c r="V46" s="30">
        <f t="shared" si="57"/>
        <v>1633</v>
      </c>
      <c r="W46" s="28">
        <f t="shared" si="57"/>
        <v>1553</v>
      </c>
      <c r="X46" s="29">
        <f t="shared" si="57"/>
        <v>3186</v>
      </c>
      <c r="Y46" s="30">
        <f t="shared" ref="Y46:AA46" si="58">Y30+Y41</f>
        <v>1671</v>
      </c>
      <c r="Z46" s="28">
        <f t="shared" si="58"/>
        <v>1628</v>
      </c>
      <c r="AA46" s="29">
        <f t="shared" si="58"/>
        <v>3299</v>
      </c>
      <c r="AB46" s="30">
        <f t="shared" ref="AB46:AD46" si="59">AB30+AB41</f>
        <v>1727</v>
      </c>
      <c r="AC46" s="28">
        <f t="shared" si="59"/>
        <v>1782</v>
      </c>
      <c r="AD46" s="29">
        <f t="shared" si="59"/>
        <v>3509</v>
      </c>
    </row>
    <row r="47" spans="1:30" ht="15.75" thickBot="1" x14ac:dyDescent="0.3">
      <c r="A47" s="162"/>
      <c r="B47" s="166" t="s">
        <v>5</v>
      </c>
      <c r="C47" s="166"/>
      <c r="D47" s="33">
        <f t="shared" ref="D47:X47" si="60">D46+D45</f>
        <v>6380</v>
      </c>
      <c r="E47" s="31">
        <f t="shared" si="60"/>
        <v>11912</v>
      </c>
      <c r="F47" s="32">
        <f t="shared" si="60"/>
        <v>18292</v>
      </c>
      <c r="G47" s="33">
        <f t="shared" si="60"/>
        <v>6098</v>
      </c>
      <c r="H47" s="31">
        <f t="shared" si="60"/>
        <v>11673</v>
      </c>
      <c r="I47" s="32">
        <f t="shared" si="60"/>
        <v>17771</v>
      </c>
      <c r="J47" s="33">
        <f t="shared" si="60"/>
        <v>6256</v>
      </c>
      <c r="K47" s="31">
        <f t="shared" si="60"/>
        <v>11496</v>
      </c>
      <c r="L47" s="32">
        <f t="shared" si="60"/>
        <v>17752</v>
      </c>
      <c r="M47" s="33">
        <f t="shared" si="60"/>
        <v>5991</v>
      </c>
      <c r="N47" s="31">
        <f t="shared" si="60"/>
        <v>10615</v>
      </c>
      <c r="O47" s="32">
        <f t="shared" si="60"/>
        <v>16606</v>
      </c>
      <c r="P47" s="33">
        <f t="shared" si="60"/>
        <v>6054</v>
      </c>
      <c r="Q47" s="31">
        <f t="shared" si="60"/>
        <v>9755</v>
      </c>
      <c r="R47" s="32">
        <f t="shared" si="60"/>
        <v>15809</v>
      </c>
      <c r="S47" s="33">
        <f t="shared" si="60"/>
        <v>6413</v>
      </c>
      <c r="T47" s="31">
        <f t="shared" si="60"/>
        <v>10838</v>
      </c>
      <c r="U47" s="32">
        <f t="shared" si="60"/>
        <v>17251</v>
      </c>
      <c r="V47" s="33">
        <f t="shared" si="60"/>
        <v>6592</v>
      </c>
      <c r="W47" s="31">
        <f t="shared" si="60"/>
        <v>10786</v>
      </c>
      <c r="X47" s="32">
        <f t="shared" si="60"/>
        <v>17378</v>
      </c>
      <c r="Y47" s="33">
        <f t="shared" ref="Y47:AA47" si="61">Y46+Y45</f>
        <v>6228</v>
      </c>
      <c r="Z47" s="31">
        <f t="shared" si="61"/>
        <v>10739</v>
      </c>
      <c r="AA47" s="32">
        <f t="shared" si="61"/>
        <v>16967</v>
      </c>
      <c r="AB47" s="33">
        <f t="shared" ref="AB47:AD47" si="62">AB46+AB45</f>
        <v>6011</v>
      </c>
      <c r="AC47" s="31">
        <f t="shared" si="62"/>
        <v>10240</v>
      </c>
      <c r="AD47" s="32">
        <f t="shared" si="62"/>
        <v>16251</v>
      </c>
    </row>
    <row r="48" spans="1:30" x14ac:dyDescent="0.25">
      <c r="E48" s="108">
        <f>E47/F47</f>
        <v>0.65121364530942494</v>
      </c>
      <c r="H48" s="108">
        <f>H47/I47</f>
        <v>0.65685667660795677</v>
      </c>
      <c r="K48" s="108">
        <f>K47/L47</f>
        <v>0.64758900405588105</v>
      </c>
      <c r="N48" s="108">
        <f>N47/O47</f>
        <v>0.63922678549921719</v>
      </c>
      <c r="Q48" s="108">
        <f>Q47/R47</f>
        <v>0.61705357707634889</v>
      </c>
      <c r="T48" s="108">
        <f>T47/U47</f>
        <v>0.62825343458350236</v>
      </c>
      <c r="W48" s="108">
        <f>W47/X47</f>
        <v>0.62066981240649099</v>
      </c>
      <c r="Z48" s="108">
        <f>Z47/AA47</f>
        <v>0.6329345199504921</v>
      </c>
      <c r="AC48" s="108">
        <f>AC47/AD47</f>
        <v>0.63011506984185583</v>
      </c>
    </row>
    <row r="50" spans="1:30" ht="18.75" x14ac:dyDescent="0.3">
      <c r="A50" s="2" t="s">
        <v>18</v>
      </c>
    </row>
    <row r="51" spans="1:30" x14ac:dyDescent="0.25">
      <c r="A51" s="88" t="s">
        <v>56</v>
      </c>
      <c r="B51" s="89"/>
      <c r="C51" s="89"/>
    </row>
    <row r="52" spans="1:30" x14ac:dyDescent="0.25">
      <c r="D52" s="167"/>
      <c r="E52" s="167"/>
      <c r="F52" s="167"/>
      <c r="G52" s="167"/>
      <c r="H52" s="167"/>
      <c r="I52" s="167"/>
      <c r="J52" s="167"/>
      <c r="K52" s="167"/>
      <c r="L52" s="167"/>
    </row>
    <row r="53" spans="1:30" ht="15.75" thickBot="1" x14ac:dyDescent="0.3">
      <c r="D53" s="125" t="s">
        <v>15</v>
      </c>
      <c r="E53" s="126"/>
      <c r="F53" s="127"/>
      <c r="G53" s="125" t="s">
        <v>45</v>
      </c>
      <c r="H53" s="126"/>
      <c r="I53" s="127"/>
      <c r="J53" s="125" t="s">
        <v>51</v>
      </c>
      <c r="K53" s="126"/>
      <c r="L53" s="127"/>
      <c r="M53" s="125" t="s">
        <v>54</v>
      </c>
      <c r="N53" s="126"/>
      <c r="O53" s="127"/>
      <c r="P53" s="125" t="s">
        <v>60</v>
      </c>
      <c r="Q53" s="126"/>
      <c r="R53" s="127"/>
      <c r="S53" s="125" t="s">
        <v>63</v>
      </c>
      <c r="T53" s="126"/>
      <c r="U53" s="127"/>
      <c r="V53" s="125" t="s">
        <v>64</v>
      </c>
      <c r="W53" s="126"/>
      <c r="X53" s="127"/>
      <c r="Y53" s="125" t="s">
        <v>66</v>
      </c>
      <c r="Z53" s="126"/>
      <c r="AA53" s="127"/>
      <c r="AB53" s="125" t="s">
        <v>72</v>
      </c>
      <c r="AC53" s="126"/>
      <c r="AD53" s="127"/>
    </row>
    <row r="54" spans="1:30" ht="15.75" thickBot="1" x14ac:dyDescent="0.3">
      <c r="A54" s="4"/>
      <c r="B54" s="5"/>
      <c r="C54" s="56" t="s">
        <v>57</v>
      </c>
      <c r="D54" s="8" t="s">
        <v>12</v>
      </c>
      <c r="E54" s="6" t="s">
        <v>13</v>
      </c>
      <c r="F54" s="7" t="s">
        <v>14</v>
      </c>
      <c r="G54" s="8" t="s">
        <v>12</v>
      </c>
      <c r="H54" s="6" t="s">
        <v>13</v>
      </c>
      <c r="I54" s="7" t="s">
        <v>14</v>
      </c>
      <c r="J54" s="8" t="s">
        <v>12</v>
      </c>
      <c r="K54" s="6" t="s">
        <v>13</v>
      </c>
      <c r="L54" s="7" t="s">
        <v>14</v>
      </c>
      <c r="M54" s="8" t="s">
        <v>12</v>
      </c>
      <c r="N54" s="6" t="s">
        <v>13</v>
      </c>
      <c r="O54" s="7" t="s">
        <v>14</v>
      </c>
      <c r="P54" s="8" t="s">
        <v>12</v>
      </c>
      <c r="Q54" s="6" t="s">
        <v>13</v>
      </c>
      <c r="R54" s="7" t="s">
        <v>14</v>
      </c>
      <c r="S54" s="8" t="s">
        <v>12</v>
      </c>
      <c r="T54" s="6" t="s">
        <v>13</v>
      </c>
      <c r="U54" s="7" t="s">
        <v>14</v>
      </c>
      <c r="V54" s="8" t="s">
        <v>12</v>
      </c>
      <c r="W54" s="6" t="s">
        <v>13</v>
      </c>
      <c r="X54" s="7" t="s">
        <v>14</v>
      </c>
      <c r="Y54" s="8" t="s">
        <v>12</v>
      </c>
      <c r="Z54" s="6" t="s">
        <v>13</v>
      </c>
      <c r="AA54" s="7" t="s">
        <v>14</v>
      </c>
      <c r="AB54" s="8" t="s">
        <v>12</v>
      </c>
      <c r="AC54" s="6" t="s">
        <v>13</v>
      </c>
      <c r="AD54" s="7" t="s">
        <v>14</v>
      </c>
    </row>
    <row r="55" spans="1:30" ht="15" customHeight="1" x14ac:dyDescent="0.25">
      <c r="A55" s="163" t="s">
        <v>18</v>
      </c>
      <c r="B55" s="130" t="s">
        <v>19</v>
      </c>
      <c r="C55" s="13" t="s">
        <v>20</v>
      </c>
      <c r="D55" s="23">
        <f>7+4+5+26</f>
        <v>42</v>
      </c>
      <c r="E55" s="21">
        <f>2+9+8+18</f>
        <v>37</v>
      </c>
      <c r="F55" s="22">
        <f>SUM(D55:E55)</f>
        <v>79</v>
      </c>
      <c r="G55" s="23">
        <v>40</v>
      </c>
      <c r="H55" s="21">
        <v>21</v>
      </c>
      <c r="I55" s="22">
        <f>SUM(G55:H55)</f>
        <v>61</v>
      </c>
      <c r="J55" s="23">
        <f>4+10+19</f>
        <v>33</v>
      </c>
      <c r="K55" s="21">
        <f>2+4+4+17</f>
        <v>27</v>
      </c>
      <c r="L55" s="22">
        <f>SUM(J55:K55)</f>
        <v>60</v>
      </c>
      <c r="M55" s="23">
        <v>37</v>
      </c>
      <c r="N55" s="21">
        <v>25</v>
      </c>
      <c r="O55" s="22">
        <f>SUM(M55:N55)</f>
        <v>62</v>
      </c>
      <c r="P55" s="23">
        <v>37</v>
      </c>
      <c r="Q55" s="21">
        <v>23</v>
      </c>
      <c r="R55" s="22">
        <f>SUM(P55:Q55)</f>
        <v>60</v>
      </c>
      <c r="S55" s="23">
        <f>5+10+15+19</f>
        <v>49</v>
      </c>
      <c r="T55" s="21">
        <f>2+5+14+16</f>
        <v>37</v>
      </c>
      <c r="U55" s="22">
        <f>SUM(S55:T55)</f>
        <v>86</v>
      </c>
      <c r="V55" s="23">
        <v>46</v>
      </c>
      <c r="W55" s="21">
        <v>29</v>
      </c>
      <c r="X55" s="22">
        <f>SUM(V55:W55)</f>
        <v>75</v>
      </c>
      <c r="Y55" s="23">
        <v>36</v>
      </c>
      <c r="Z55" s="21">
        <v>17</v>
      </c>
      <c r="AA55" s="22">
        <f>SUM(Y55:Z55)</f>
        <v>53</v>
      </c>
      <c r="AB55" s="23">
        <v>43</v>
      </c>
      <c r="AC55" s="21">
        <v>25</v>
      </c>
      <c r="AD55" s="22">
        <f>SUM(AB55:AC55)</f>
        <v>68</v>
      </c>
    </row>
    <row r="56" spans="1:30" x14ac:dyDescent="0.25">
      <c r="A56" s="164"/>
      <c r="B56" s="131"/>
      <c r="C56" s="14" t="s">
        <v>53</v>
      </c>
      <c r="D56" s="17">
        <v>10</v>
      </c>
      <c r="E56" s="15">
        <v>1</v>
      </c>
      <c r="F56" s="16">
        <f t="shared" ref="F56:F64" si="63">SUM(D56:E56)</f>
        <v>11</v>
      </c>
      <c r="G56" s="17">
        <v>8</v>
      </c>
      <c r="H56" s="15">
        <v>2</v>
      </c>
      <c r="I56" s="16">
        <f t="shared" ref="I56:I64" si="64">SUM(G56:H56)</f>
        <v>10</v>
      </c>
      <c r="J56" s="17">
        <v>2</v>
      </c>
      <c r="K56" s="15">
        <v>1</v>
      </c>
      <c r="L56" s="16">
        <f t="shared" ref="L56:L64" si="65">SUM(J56:K56)</f>
        <v>3</v>
      </c>
      <c r="M56" s="17">
        <v>11</v>
      </c>
      <c r="N56" s="15">
        <v>0</v>
      </c>
      <c r="O56" s="16">
        <f t="shared" ref="O56:O64" si="66">SUM(M56:N56)</f>
        <v>11</v>
      </c>
      <c r="P56" s="17">
        <v>4</v>
      </c>
      <c r="Q56" s="15">
        <v>3</v>
      </c>
      <c r="R56" s="16">
        <f t="shared" ref="R56:R64" si="67">SUM(P56:Q56)</f>
        <v>7</v>
      </c>
      <c r="S56" s="17">
        <v>16</v>
      </c>
      <c r="T56" s="15">
        <v>7</v>
      </c>
      <c r="U56" s="16">
        <f t="shared" ref="U56:U64" si="68">SUM(S56:T56)</f>
        <v>23</v>
      </c>
      <c r="V56" s="17">
        <v>13</v>
      </c>
      <c r="W56" s="15">
        <v>3</v>
      </c>
      <c r="X56" s="16">
        <f t="shared" ref="X56:X64" si="69">SUM(V56:W56)</f>
        <v>16</v>
      </c>
      <c r="Y56" s="17">
        <v>10</v>
      </c>
      <c r="Z56" s="15">
        <v>0</v>
      </c>
      <c r="AA56" s="16">
        <f t="shared" ref="AA56:AA64" si="70">SUM(Y56:Z56)</f>
        <v>10</v>
      </c>
      <c r="AB56" s="17">
        <v>14</v>
      </c>
      <c r="AC56" s="15">
        <v>6</v>
      </c>
      <c r="AD56" s="16">
        <f t="shared" ref="AD56:AD64" si="71">SUM(AB56:AC56)</f>
        <v>20</v>
      </c>
    </row>
    <row r="57" spans="1:30" x14ac:dyDescent="0.25">
      <c r="A57" s="164"/>
      <c r="B57" s="131"/>
      <c r="C57" s="14" t="s">
        <v>46</v>
      </c>
      <c r="D57" s="17">
        <f>3+25+67+24</f>
        <v>119</v>
      </c>
      <c r="E57" s="15">
        <f>10+157+222+62</f>
        <v>451</v>
      </c>
      <c r="F57" s="16">
        <f t="shared" si="63"/>
        <v>570</v>
      </c>
      <c r="G57" s="17">
        <v>146</v>
      </c>
      <c r="H57" s="15">
        <v>507</v>
      </c>
      <c r="I57" s="16">
        <f t="shared" si="64"/>
        <v>653</v>
      </c>
      <c r="J57" s="17">
        <f>3+48+95+18</f>
        <v>164</v>
      </c>
      <c r="K57" s="15">
        <f>10+155+307+55</f>
        <v>527</v>
      </c>
      <c r="L57" s="16">
        <f t="shared" si="65"/>
        <v>691</v>
      </c>
      <c r="M57" s="17">
        <v>154</v>
      </c>
      <c r="N57" s="15">
        <v>488</v>
      </c>
      <c r="O57" s="16">
        <f t="shared" si="66"/>
        <v>642</v>
      </c>
      <c r="P57" s="17">
        <v>136</v>
      </c>
      <c r="Q57" s="15">
        <v>442</v>
      </c>
      <c r="R57" s="16">
        <f t="shared" si="67"/>
        <v>578</v>
      </c>
      <c r="S57" s="17">
        <f>6+32+99+18</f>
        <v>155</v>
      </c>
      <c r="T57" s="15">
        <f>12+152+256+53</f>
        <v>473</v>
      </c>
      <c r="U57" s="16">
        <f t="shared" si="68"/>
        <v>628</v>
      </c>
      <c r="V57" s="17">
        <v>104</v>
      </c>
      <c r="W57" s="15">
        <v>418</v>
      </c>
      <c r="X57" s="16">
        <f t="shared" si="69"/>
        <v>522</v>
      </c>
      <c r="Y57" s="17">
        <v>115</v>
      </c>
      <c r="Z57" s="15">
        <v>422</v>
      </c>
      <c r="AA57" s="16">
        <f t="shared" si="70"/>
        <v>537</v>
      </c>
      <c r="AB57" s="17">
        <v>131</v>
      </c>
      <c r="AC57" s="15">
        <v>421</v>
      </c>
      <c r="AD57" s="16">
        <f t="shared" si="71"/>
        <v>552</v>
      </c>
    </row>
    <row r="58" spans="1:30" x14ac:dyDescent="0.25">
      <c r="A58" s="164"/>
      <c r="B58" s="131"/>
      <c r="C58" s="14" t="s">
        <v>21</v>
      </c>
      <c r="D58" s="17">
        <f>10+17+53+34</f>
        <v>114</v>
      </c>
      <c r="E58" s="15">
        <f>12+29+116+32</f>
        <v>189</v>
      </c>
      <c r="F58" s="16">
        <f t="shared" si="63"/>
        <v>303</v>
      </c>
      <c r="G58" s="17">
        <v>98</v>
      </c>
      <c r="H58" s="15">
        <v>160</v>
      </c>
      <c r="I58" s="16">
        <f t="shared" si="64"/>
        <v>258</v>
      </c>
      <c r="J58" s="17">
        <f>2+17+46+38</f>
        <v>103</v>
      </c>
      <c r="K58" s="15">
        <f>5+35+71+31</f>
        <v>142</v>
      </c>
      <c r="L58" s="16">
        <f t="shared" si="65"/>
        <v>245</v>
      </c>
      <c r="M58" s="17">
        <v>98</v>
      </c>
      <c r="N58" s="15">
        <v>134</v>
      </c>
      <c r="O58" s="16">
        <f t="shared" si="66"/>
        <v>232</v>
      </c>
      <c r="P58" s="17">
        <v>102</v>
      </c>
      <c r="Q58" s="15">
        <v>124</v>
      </c>
      <c r="R58" s="16">
        <f t="shared" si="67"/>
        <v>226</v>
      </c>
      <c r="S58" s="17">
        <f>4+20+54+39</f>
        <v>117</v>
      </c>
      <c r="T58" s="15">
        <f>5+26+82+31</f>
        <v>144</v>
      </c>
      <c r="U58" s="16">
        <f t="shared" si="68"/>
        <v>261</v>
      </c>
      <c r="V58" s="17">
        <v>78</v>
      </c>
      <c r="W58" s="15">
        <v>99</v>
      </c>
      <c r="X58" s="16">
        <f t="shared" si="69"/>
        <v>177</v>
      </c>
      <c r="Y58" s="17">
        <v>84</v>
      </c>
      <c r="Z58" s="15">
        <v>109</v>
      </c>
      <c r="AA58" s="16">
        <f t="shared" si="70"/>
        <v>193</v>
      </c>
      <c r="AB58" s="17">
        <v>99</v>
      </c>
      <c r="AC58" s="15">
        <v>121</v>
      </c>
      <c r="AD58" s="16">
        <f t="shared" si="71"/>
        <v>220</v>
      </c>
    </row>
    <row r="59" spans="1:30" x14ac:dyDescent="0.25">
      <c r="A59" s="164"/>
      <c r="B59" s="131"/>
      <c r="C59" s="14" t="s">
        <v>22</v>
      </c>
      <c r="D59" s="17">
        <f>18+126+1</f>
        <v>145</v>
      </c>
      <c r="E59" s="15">
        <f>46+329+1</f>
        <v>376</v>
      </c>
      <c r="F59" s="16">
        <f t="shared" si="63"/>
        <v>521</v>
      </c>
      <c r="G59" s="17">
        <v>149</v>
      </c>
      <c r="H59" s="15">
        <v>378</v>
      </c>
      <c r="I59" s="16">
        <f t="shared" si="64"/>
        <v>527</v>
      </c>
      <c r="J59" s="17">
        <f>17+109</f>
        <v>126</v>
      </c>
      <c r="K59" s="15">
        <f>28+299+3</f>
        <v>330</v>
      </c>
      <c r="L59" s="16">
        <f t="shared" si="65"/>
        <v>456</v>
      </c>
      <c r="M59" s="17">
        <v>128</v>
      </c>
      <c r="N59" s="15">
        <v>379</v>
      </c>
      <c r="O59" s="16">
        <f t="shared" si="66"/>
        <v>507</v>
      </c>
      <c r="P59" s="17">
        <v>131</v>
      </c>
      <c r="Q59" s="15">
        <v>357</v>
      </c>
      <c r="R59" s="16">
        <f t="shared" si="67"/>
        <v>488</v>
      </c>
      <c r="S59" s="17">
        <f>6+128+1</f>
        <v>135</v>
      </c>
      <c r="T59" s="15">
        <f>33+366+1</f>
        <v>400</v>
      </c>
      <c r="U59" s="16">
        <f t="shared" si="68"/>
        <v>535</v>
      </c>
      <c r="V59" s="17">
        <v>110</v>
      </c>
      <c r="W59" s="15">
        <v>338</v>
      </c>
      <c r="X59" s="16">
        <f t="shared" si="69"/>
        <v>448</v>
      </c>
      <c r="Y59" s="17">
        <v>104</v>
      </c>
      <c r="Z59" s="15">
        <v>388</v>
      </c>
      <c r="AA59" s="16">
        <f t="shared" si="70"/>
        <v>492</v>
      </c>
      <c r="AB59" s="17">
        <v>125</v>
      </c>
      <c r="AC59" s="15">
        <v>364</v>
      </c>
      <c r="AD59" s="16">
        <f t="shared" si="71"/>
        <v>489</v>
      </c>
    </row>
    <row r="60" spans="1:30" x14ac:dyDescent="0.25">
      <c r="A60" s="164"/>
      <c r="B60" s="131"/>
      <c r="C60" s="14" t="s">
        <v>23</v>
      </c>
      <c r="D60" s="17">
        <f>87+6+372+24</f>
        <v>489</v>
      </c>
      <c r="E60" s="15">
        <f>109+6+638+24</f>
        <v>777</v>
      </c>
      <c r="F60" s="16">
        <f t="shared" si="63"/>
        <v>1266</v>
      </c>
      <c r="G60" s="17">
        <v>478</v>
      </c>
      <c r="H60" s="15">
        <v>761</v>
      </c>
      <c r="I60" s="16">
        <f t="shared" si="64"/>
        <v>1239</v>
      </c>
      <c r="J60" s="17">
        <f>79+2+380+9</f>
        <v>470</v>
      </c>
      <c r="K60" s="15">
        <f>108+1+599+24</f>
        <v>732</v>
      </c>
      <c r="L60" s="16">
        <f t="shared" si="65"/>
        <v>1202</v>
      </c>
      <c r="M60" s="17">
        <v>420</v>
      </c>
      <c r="N60" s="15">
        <v>664</v>
      </c>
      <c r="O60" s="16">
        <f t="shared" si="66"/>
        <v>1084</v>
      </c>
      <c r="P60" s="17">
        <v>419</v>
      </c>
      <c r="Q60" s="15">
        <v>676</v>
      </c>
      <c r="R60" s="16">
        <f t="shared" si="67"/>
        <v>1095</v>
      </c>
      <c r="S60" s="17">
        <f>112+1+2+373+10</f>
        <v>498</v>
      </c>
      <c r="T60" s="15">
        <f>133+3+12+645+20</f>
        <v>813</v>
      </c>
      <c r="U60" s="16">
        <f t="shared" si="68"/>
        <v>1311</v>
      </c>
      <c r="V60" s="17">
        <v>457</v>
      </c>
      <c r="W60" s="15">
        <v>845</v>
      </c>
      <c r="X60" s="16">
        <f t="shared" si="69"/>
        <v>1302</v>
      </c>
      <c r="Y60" s="17">
        <v>403</v>
      </c>
      <c r="Z60" s="15">
        <v>800</v>
      </c>
      <c r="AA60" s="16">
        <f t="shared" si="70"/>
        <v>1203</v>
      </c>
      <c r="AB60" s="17">
        <v>470</v>
      </c>
      <c r="AC60" s="15">
        <v>820</v>
      </c>
      <c r="AD60" s="16">
        <f t="shared" si="71"/>
        <v>1290</v>
      </c>
    </row>
    <row r="61" spans="1:30" x14ac:dyDescent="0.25">
      <c r="A61" s="164"/>
      <c r="B61" s="131"/>
      <c r="C61" s="14" t="s">
        <v>24</v>
      </c>
      <c r="D61" s="17">
        <v>280</v>
      </c>
      <c r="E61" s="15">
        <v>567</v>
      </c>
      <c r="F61" s="16">
        <f t="shared" si="63"/>
        <v>847</v>
      </c>
      <c r="G61" s="17">
        <v>269</v>
      </c>
      <c r="H61" s="15">
        <v>607</v>
      </c>
      <c r="I61" s="16">
        <f t="shared" si="64"/>
        <v>876</v>
      </c>
      <c r="J61" s="17">
        <v>318</v>
      </c>
      <c r="K61" s="15">
        <v>643</v>
      </c>
      <c r="L61" s="16">
        <f t="shared" si="65"/>
        <v>961</v>
      </c>
      <c r="M61" s="17">
        <v>303</v>
      </c>
      <c r="N61" s="15">
        <v>599</v>
      </c>
      <c r="O61" s="16">
        <f t="shared" si="66"/>
        <v>902</v>
      </c>
      <c r="P61" s="17">
        <v>306</v>
      </c>
      <c r="Q61" s="15">
        <v>700</v>
      </c>
      <c r="R61" s="16">
        <f t="shared" si="67"/>
        <v>1006</v>
      </c>
      <c r="S61" s="17">
        <v>312</v>
      </c>
      <c r="T61" s="15">
        <v>619</v>
      </c>
      <c r="U61" s="16">
        <f t="shared" si="68"/>
        <v>931</v>
      </c>
      <c r="V61" s="17">
        <v>321</v>
      </c>
      <c r="W61" s="15">
        <v>721</v>
      </c>
      <c r="X61" s="16">
        <f t="shared" si="69"/>
        <v>1042</v>
      </c>
      <c r="Y61" s="17">
        <v>348</v>
      </c>
      <c r="Z61" s="15">
        <v>753</v>
      </c>
      <c r="AA61" s="16">
        <f t="shared" si="70"/>
        <v>1101</v>
      </c>
      <c r="AB61" s="17">
        <v>362</v>
      </c>
      <c r="AC61" s="15">
        <v>777</v>
      </c>
      <c r="AD61" s="16">
        <f t="shared" si="71"/>
        <v>1139</v>
      </c>
    </row>
    <row r="62" spans="1:30" x14ac:dyDescent="0.25">
      <c r="A62" s="164"/>
      <c r="B62" s="131"/>
      <c r="C62" s="14" t="s">
        <v>25</v>
      </c>
      <c r="D62" s="17">
        <v>40</v>
      </c>
      <c r="E62" s="15">
        <v>96</v>
      </c>
      <c r="F62" s="16">
        <f t="shared" si="63"/>
        <v>136</v>
      </c>
      <c r="G62" s="17">
        <v>36</v>
      </c>
      <c r="H62" s="15">
        <v>119</v>
      </c>
      <c r="I62" s="16">
        <f t="shared" si="64"/>
        <v>155</v>
      </c>
      <c r="J62" s="17">
        <v>37</v>
      </c>
      <c r="K62" s="15">
        <v>121</v>
      </c>
      <c r="L62" s="16">
        <f t="shared" si="65"/>
        <v>158</v>
      </c>
      <c r="M62" s="17">
        <v>30</v>
      </c>
      <c r="N62" s="15">
        <v>102</v>
      </c>
      <c r="O62" s="16">
        <f t="shared" si="66"/>
        <v>132</v>
      </c>
      <c r="P62" s="17">
        <v>29</v>
      </c>
      <c r="Q62" s="15">
        <v>107</v>
      </c>
      <c r="R62" s="16">
        <f t="shared" si="67"/>
        <v>136</v>
      </c>
      <c r="S62" s="17">
        <v>45</v>
      </c>
      <c r="T62" s="15">
        <v>130</v>
      </c>
      <c r="U62" s="16">
        <f t="shared" si="68"/>
        <v>175</v>
      </c>
      <c r="V62" s="17">
        <v>51</v>
      </c>
      <c r="W62" s="15">
        <v>159</v>
      </c>
      <c r="X62" s="16">
        <f t="shared" si="69"/>
        <v>210</v>
      </c>
      <c r="Y62" s="17">
        <v>53</v>
      </c>
      <c r="Z62" s="15">
        <v>203</v>
      </c>
      <c r="AA62" s="16">
        <f t="shared" si="70"/>
        <v>256</v>
      </c>
      <c r="AB62" s="17">
        <v>54</v>
      </c>
      <c r="AC62" s="15">
        <v>215</v>
      </c>
      <c r="AD62" s="16">
        <f t="shared" si="71"/>
        <v>269</v>
      </c>
    </row>
    <row r="63" spans="1:30" x14ac:dyDescent="0.25">
      <c r="A63" s="164"/>
      <c r="B63" s="131"/>
      <c r="C63" s="14" t="s">
        <v>26</v>
      </c>
      <c r="D63" s="17">
        <f>163+4+860+16</f>
        <v>1043</v>
      </c>
      <c r="E63" s="15">
        <f>105+9+583+10</f>
        <v>707</v>
      </c>
      <c r="F63" s="16">
        <f t="shared" si="63"/>
        <v>1750</v>
      </c>
      <c r="G63" s="17">
        <v>1030</v>
      </c>
      <c r="H63" s="15">
        <v>759</v>
      </c>
      <c r="I63" s="16">
        <f t="shared" si="64"/>
        <v>1789</v>
      </c>
      <c r="J63" s="17">
        <f>134+3+907+5</f>
        <v>1049</v>
      </c>
      <c r="K63" s="15">
        <f>108+7+673+11</f>
        <v>799</v>
      </c>
      <c r="L63" s="16">
        <f t="shared" si="65"/>
        <v>1848</v>
      </c>
      <c r="M63" s="17">
        <v>1058</v>
      </c>
      <c r="N63" s="15">
        <v>747</v>
      </c>
      <c r="O63" s="16">
        <f t="shared" si="66"/>
        <v>1805</v>
      </c>
      <c r="P63" s="17">
        <v>1030</v>
      </c>
      <c r="Q63" s="15">
        <v>770</v>
      </c>
      <c r="R63" s="16">
        <f t="shared" si="67"/>
        <v>1800</v>
      </c>
      <c r="S63" s="17">
        <f>160+2+895+12</f>
        <v>1069</v>
      </c>
      <c r="T63" s="15">
        <f>108+8+732+5</f>
        <v>853</v>
      </c>
      <c r="U63" s="16">
        <f t="shared" si="68"/>
        <v>1922</v>
      </c>
      <c r="V63" s="17">
        <v>1088</v>
      </c>
      <c r="W63" s="15">
        <v>988</v>
      </c>
      <c r="X63" s="16">
        <f t="shared" si="69"/>
        <v>2076</v>
      </c>
      <c r="Y63" s="17">
        <v>1083</v>
      </c>
      <c r="Z63" s="15">
        <v>929</v>
      </c>
      <c r="AA63" s="16">
        <f t="shared" si="70"/>
        <v>2012</v>
      </c>
      <c r="AB63" s="17">
        <v>1156</v>
      </c>
      <c r="AC63" s="15">
        <v>1034</v>
      </c>
      <c r="AD63" s="16">
        <f t="shared" si="71"/>
        <v>2190</v>
      </c>
    </row>
    <row r="64" spans="1:30" x14ac:dyDescent="0.25">
      <c r="A64" s="164"/>
      <c r="B64" s="131"/>
      <c r="C64" s="14" t="s">
        <v>27</v>
      </c>
      <c r="D64" s="17">
        <f>173+5</f>
        <v>178</v>
      </c>
      <c r="E64" s="15">
        <f>922+8</f>
        <v>930</v>
      </c>
      <c r="F64" s="16">
        <f t="shared" si="63"/>
        <v>1108</v>
      </c>
      <c r="G64" s="17">
        <v>184</v>
      </c>
      <c r="H64" s="15">
        <v>1016</v>
      </c>
      <c r="I64" s="16">
        <f t="shared" si="64"/>
        <v>1200</v>
      </c>
      <c r="J64" s="17">
        <v>189</v>
      </c>
      <c r="K64" s="15">
        <f>1016+7</f>
        <v>1023</v>
      </c>
      <c r="L64" s="16">
        <f t="shared" si="65"/>
        <v>1212</v>
      </c>
      <c r="M64" s="17">
        <v>194</v>
      </c>
      <c r="N64" s="15">
        <v>1030</v>
      </c>
      <c r="O64" s="16">
        <f t="shared" si="66"/>
        <v>1224</v>
      </c>
      <c r="P64" s="17">
        <v>217</v>
      </c>
      <c r="Q64" s="15">
        <v>1004</v>
      </c>
      <c r="R64" s="16">
        <f t="shared" si="67"/>
        <v>1221</v>
      </c>
      <c r="S64" s="17">
        <v>260</v>
      </c>
      <c r="T64" s="15">
        <v>1433</v>
      </c>
      <c r="U64" s="16">
        <f t="shared" si="68"/>
        <v>1693</v>
      </c>
      <c r="V64" s="17">
        <v>211</v>
      </c>
      <c r="W64" s="15">
        <v>1382</v>
      </c>
      <c r="X64" s="16">
        <f t="shared" si="69"/>
        <v>1593</v>
      </c>
      <c r="Y64" s="17">
        <v>205</v>
      </c>
      <c r="Z64" s="15">
        <v>1237</v>
      </c>
      <c r="AA64" s="16">
        <f t="shared" si="70"/>
        <v>1442</v>
      </c>
      <c r="AB64" s="17">
        <f>136+92</f>
        <v>228</v>
      </c>
      <c r="AC64" s="15">
        <f>1065+390</f>
        <v>1455</v>
      </c>
      <c r="AD64" s="16">
        <f t="shared" si="71"/>
        <v>1683</v>
      </c>
    </row>
    <row r="65" spans="1:30" ht="15.75" thickBot="1" x14ac:dyDescent="0.3">
      <c r="A65" s="164"/>
      <c r="B65" s="132"/>
      <c r="C65" s="11" t="s">
        <v>5</v>
      </c>
      <c r="D65" s="20">
        <f t="shared" ref="D65:L65" si="72">SUM(D55:D64)</f>
        <v>2460</v>
      </c>
      <c r="E65" s="18">
        <f t="shared" si="72"/>
        <v>4131</v>
      </c>
      <c r="F65" s="19">
        <f t="shared" si="72"/>
        <v>6591</v>
      </c>
      <c r="G65" s="20">
        <f t="shared" si="72"/>
        <v>2438</v>
      </c>
      <c r="H65" s="18">
        <f t="shared" si="72"/>
        <v>4330</v>
      </c>
      <c r="I65" s="19">
        <f t="shared" si="72"/>
        <v>6768</v>
      </c>
      <c r="J65" s="20">
        <f t="shared" si="72"/>
        <v>2491</v>
      </c>
      <c r="K65" s="18">
        <f t="shared" si="72"/>
        <v>4345</v>
      </c>
      <c r="L65" s="19">
        <f t="shared" si="72"/>
        <v>6836</v>
      </c>
      <c r="M65" s="20">
        <f t="shared" ref="M65:U65" si="73">SUM(M55:M64)</f>
        <v>2433</v>
      </c>
      <c r="N65" s="18">
        <f t="shared" si="73"/>
        <v>4168</v>
      </c>
      <c r="O65" s="19">
        <f t="shared" si="73"/>
        <v>6601</v>
      </c>
      <c r="P65" s="20">
        <f t="shared" si="73"/>
        <v>2411</v>
      </c>
      <c r="Q65" s="18">
        <f t="shared" si="73"/>
        <v>4206</v>
      </c>
      <c r="R65" s="19">
        <f t="shared" si="73"/>
        <v>6617</v>
      </c>
      <c r="S65" s="20">
        <f t="shared" si="73"/>
        <v>2656</v>
      </c>
      <c r="T65" s="18">
        <f t="shared" si="73"/>
        <v>4909</v>
      </c>
      <c r="U65" s="19">
        <f t="shared" si="73"/>
        <v>7565</v>
      </c>
      <c r="V65" s="20">
        <f t="shared" ref="V65:X65" si="74">SUM(V55:V64)</f>
        <v>2479</v>
      </c>
      <c r="W65" s="18">
        <f t="shared" si="74"/>
        <v>4982</v>
      </c>
      <c r="X65" s="19">
        <f t="shared" si="74"/>
        <v>7461</v>
      </c>
      <c r="Y65" s="20">
        <f t="shared" ref="Y65:AA65" si="75">SUM(Y55:Y64)</f>
        <v>2441</v>
      </c>
      <c r="Z65" s="18">
        <f t="shared" si="75"/>
        <v>4858</v>
      </c>
      <c r="AA65" s="19">
        <f t="shared" si="75"/>
        <v>7299</v>
      </c>
      <c r="AB65" s="20">
        <f t="shared" ref="AB65:AD65" si="76">SUM(AB55:AB64)</f>
        <v>2682</v>
      </c>
      <c r="AC65" s="18">
        <f t="shared" si="76"/>
        <v>5238</v>
      </c>
      <c r="AD65" s="19">
        <f t="shared" si="76"/>
        <v>7920</v>
      </c>
    </row>
    <row r="66" spans="1:30" x14ac:dyDescent="0.25">
      <c r="A66" s="164"/>
      <c r="B66" s="130" t="s">
        <v>48</v>
      </c>
      <c r="C66" s="43" t="s">
        <v>49</v>
      </c>
      <c r="D66" s="45">
        <v>0</v>
      </c>
      <c r="E66" s="44">
        <v>0</v>
      </c>
      <c r="F66" s="16">
        <f t="shared" ref="F66:F67" si="77">SUM(D66:E66)</f>
        <v>0</v>
      </c>
      <c r="G66" s="45">
        <v>0</v>
      </c>
      <c r="H66" s="44">
        <v>0</v>
      </c>
      <c r="I66" s="16">
        <f t="shared" ref="I66:I67" si="78">SUM(G66:H66)</f>
        <v>0</v>
      </c>
      <c r="J66" s="45">
        <v>0</v>
      </c>
      <c r="K66" s="44">
        <v>0</v>
      </c>
      <c r="L66" s="16">
        <f t="shared" ref="L66:L67" si="79">SUM(J66:K66)</f>
        <v>0</v>
      </c>
      <c r="M66" s="45">
        <v>0</v>
      </c>
      <c r="N66" s="44">
        <v>0</v>
      </c>
      <c r="O66" s="16">
        <f t="shared" ref="O66:O67" si="80">SUM(M66:N66)</f>
        <v>0</v>
      </c>
      <c r="P66" s="45">
        <v>0</v>
      </c>
      <c r="Q66" s="44">
        <v>0</v>
      </c>
      <c r="R66" s="16">
        <f t="shared" ref="R66:R67" si="81">SUM(P66:Q66)</f>
        <v>0</v>
      </c>
      <c r="S66" s="45">
        <v>0</v>
      </c>
      <c r="T66" s="44">
        <v>0</v>
      </c>
      <c r="U66" s="16">
        <f t="shared" ref="U66:U67" si="82">SUM(S66:T66)</f>
        <v>0</v>
      </c>
      <c r="V66" s="45">
        <v>0</v>
      </c>
      <c r="W66" s="44">
        <v>0</v>
      </c>
      <c r="X66" s="16">
        <f t="shared" ref="X66:X67" si="83">SUM(V66:W66)</f>
        <v>0</v>
      </c>
      <c r="Y66" s="45">
        <v>0</v>
      </c>
      <c r="Z66" s="44">
        <v>0</v>
      </c>
      <c r="AA66" s="16">
        <f t="shared" ref="AA66:AA67" si="84">SUM(Y66:Z66)</f>
        <v>0</v>
      </c>
      <c r="AB66" s="45">
        <v>0</v>
      </c>
      <c r="AC66" s="44">
        <v>0</v>
      </c>
      <c r="AD66" s="16">
        <f t="shared" ref="AD66:AD67" si="85">SUM(AB66:AC66)</f>
        <v>0</v>
      </c>
    </row>
    <row r="67" spans="1:30" x14ac:dyDescent="0.25">
      <c r="A67" s="164"/>
      <c r="B67" s="131"/>
      <c r="C67" s="14" t="s">
        <v>50</v>
      </c>
      <c r="D67" s="45">
        <v>27</v>
      </c>
      <c r="E67" s="44">
        <v>68</v>
      </c>
      <c r="F67" s="16">
        <f t="shared" si="77"/>
        <v>95</v>
      </c>
      <c r="G67" s="45">
        <v>27</v>
      </c>
      <c r="H67" s="44">
        <v>68</v>
      </c>
      <c r="I67" s="16">
        <f t="shared" si="78"/>
        <v>95</v>
      </c>
      <c r="J67" s="45">
        <v>21</v>
      </c>
      <c r="K67" s="44">
        <v>46</v>
      </c>
      <c r="L67" s="16">
        <f t="shared" si="79"/>
        <v>67</v>
      </c>
      <c r="M67" s="45">
        <v>15</v>
      </c>
      <c r="N67" s="44">
        <v>37</v>
      </c>
      <c r="O67" s="16">
        <f t="shared" si="80"/>
        <v>52</v>
      </c>
      <c r="P67" s="45">
        <v>16</v>
      </c>
      <c r="Q67" s="44">
        <v>30</v>
      </c>
      <c r="R67" s="16">
        <f t="shared" si="81"/>
        <v>46</v>
      </c>
      <c r="S67" s="45">
        <v>17</v>
      </c>
      <c r="T67" s="44">
        <v>35</v>
      </c>
      <c r="U67" s="16">
        <f t="shared" si="82"/>
        <v>52</v>
      </c>
      <c r="V67" s="45">
        <v>11</v>
      </c>
      <c r="W67" s="44">
        <v>41</v>
      </c>
      <c r="X67" s="16">
        <f t="shared" si="83"/>
        <v>52</v>
      </c>
      <c r="Y67" s="45">
        <v>14</v>
      </c>
      <c r="Z67" s="44">
        <v>34</v>
      </c>
      <c r="AA67" s="16">
        <f t="shared" si="84"/>
        <v>48</v>
      </c>
      <c r="AB67" s="45">
        <v>23</v>
      </c>
      <c r="AC67" s="44">
        <v>36</v>
      </c>
      <c r="AD67" s="16">
        <f t="shared" si="85"/>
        <v>59</v>
      </c>
    </row>
    <row r="68" spans="1:30" ht="15.75" thickBot="1" x14ac:dyDescent="0.3">
      <c r="A68" s="164"/>
      <c r="B68" s="132"/>
      <c r="C68" s="42" t="s">
        <v>5</v>
      </c>
      <c r="D68" s="26">
        <f t="shared" ref="D68:U68" si="86">SUM(D66:D67)</f>
        <v>27</v>
      </c>
      <c r="E68" s="24">
        <f t="shared" si="86"/>
        <v>68</v>
      </c>
      <c r="F68" s="25">
        <f t="shared" si="86"/>
        <v>95</v>
      </c>
      <c r="G68" s="26">
        <f t="shared" si="86"/>
        <v>27</v>
      </c>
      <c r="H68" s="24">
        <f t="shared" si="86"/>
        <v>68</v>
      </c>
      <c r="I68" s="25">
        <f t="shared" si="86"/>
        <v>95</v>
      </c>
      <c r="J68" s="26">
        <f t="shared" si="86"/>
        <v>21</v>
      </c>
      <c r="K68" s="24">
        <f t="shared" si="86"/>
        <v>46</v>
      </c>
      <c r="L68" s="25">
        <f t="shared" si="86"/>
        <v>67</v>
      </c>
      <c r="M68" s="26">
        <f t="shared" si="86"/>
        <v>15</v>
      </c>
      <c r="N68" s="24">
        <f t="shared" si="86"/>
        <v>37</v>
      </c>
      <c r="O68" s="25">
        <f t="shared" si="86"/>
        <v>52</v>
      </c>
      <c r="P68" s="26">
        <f t="shared" si="86"/>
        <v>16</v>
      </c>
      <c r="Q68" s="24">
        <f t="shared" si="86"/>
        <v>30</v>
      </c>
      <c r="R68" s="25">
        <f t="shared" si="86"/>
        <v>46</v>
      </c>
      <c r="S68" s="26">
        <f t="shared" si="86"/>
        <v>17</v>
      </c>
      <c r="T68" s="24">
        <f t="shared" si="86"/>
        <v>35</v>
      </c>
      <c r="U68" s="25">
        <f t="shared" si="86"/>
        <v>52</v>
      </c>
      <c r="V68" s="26">
        <f t="shared" ref="V68:X68" si="87">SUM(V66:V67)</f>
        <v>11</v>
      </c>
      <c r="W68" s="24">
        <f t="shared" si="87"/>
        <v>41</v>
      </c>
      <c r="X68" s="25">
        <f t="shared" si="87"/>
        <v>52</v>
      </c>
      <c r="Y68" s="26">
        <f t="shared" ref="Y68:AA68" si="88">SUM(Y66:Y67)</f>
        <v>14</v>
      </c>
      <c r="Z68" s="24">
        <f t="shared" si="88"/>
        <v>34</v>
      </c>
      <c r="AA68" s="25">
        <f t="shared" si="88"/>
        <v>48</v>
      </c>
      <c r="AB68" s="26">
        <f t="shared" ref="AB68:AD68" si="89">SUM(AB66:AB67)</f>
        <v>23</v>
      </c>
      <c r="AC68" s="24">
        <f t="shared" si="89"/>
        <v>36</v>
      </c>
      <c r="AD68" s="25">
        <f t="shared" si="89"/>
        <v>59</v>
      </c>
    </row>
    <row r="69" spans="1:30" ht="15" customHeight="1" x14ac:dyDescent="0.25">
      <c r="A69" s="164"/>
      <c r="B69" s="130" t="s">
        <v>47</v>
      </c>
      <c r="C69" s="13" t="s">
        <v>28</v>
      </c>
      <c r="D69" s="23">
        <f>51+34+215+160</f>
        <v>460</v>
      </c>
      <c r="E69" s="21">
        <f>26+52+141+115</f>
        <v>334</v>
      </c>
      <c r="F69" s="22">
        <f>SUM(D69:E69)</f>
        <v>794</v>
      </c>
      <c r="G69" s="23">
        <v>481</v>
      </c>
      <c r="H69" s="21">
        <v>321</v>
      </c>
      <c r="I69" s="22">
        <f>SUM(G69:H69)</f>
        <v>802</v>
      </c>
      <c r="J69" s="23">
        <f>47+20+254+172</f>
        <v>493</v>
      </c>
      <c r="K69" s="21">
        <f>16+37+204+105</f>
        <v>362</v>
      </c>
      <c r="L69" s="22">
        <f>SUM(J69:K69)</f>
        <v>855</v>
      </c>
      <c r="M69" s="23">
        <v>485</v>
      </c>
      <c r="N69" s="21">
        <v>337</v>
      </c>
      <c r="O69" s="22">
        <f>SUM(M69:N69)</f>
        <v>822</v>
      </c>
      <c r="P69" s="23">
        <v>484</v>
      </c>
      <c r="Q69" s="21">
        <v>369</v>
      </c>
      <c r="R69" s="22">
        <f>SUM(P69:Q69)</f>
        <v>853</v>
      </c>
      <c r="S69" s="23">
        <f>42+24+283+161</f>
        <v>510</v>
      </c>
      <c r="T69" s="21">
        <f>13+26+246+134</f>
        <v>419</v>
      </c>
      <c r="U69" s="22">
        <f>SUM(S69:T69)</f>
        <v>929</v>
      </c>
      <c r="V69" s="23">
        <v>578</v>
      </c>
      <c r="W69" s="21">
        <v>423</v>
      </c>
      <c r="X69" s="22">
        <f>SUM(V69:W69)</f>
        <v>1001</v>
      </c>
      <c r="Y69" s="23">
        <v>572</v>
      </c>
      <c r="Z69" s="21">
        <v>388</v>
      </c>
      <c r="AA69" s="22">
        <f>SUM(Y69:Z69)</f>
        <v>960</v>
      </c>
      <c r="AB69" s="23">
        <v>588</v>
      </c>
      <c r="AC69" s="21">
        <v>425</v>
      </c>
      <c r="AD69" s="22">
        <f>SUM(AB69:AC69)</f>
        <v>1013</v>
      </c>
    </row>
    <row r="70" spans="1:30" x14ac:dyDescent="0.25">
      <c r="A70" s="164"/>
      <c r="B70" s="131"/>
      <c r="C70" s="10" t="s">
        <v>58</v>
      </c>
      <c r="D70" s="17">
        <v>146</v>
      </c>
      <c r="E70" s="15">
        <v>110</v>
      </c>
      <c r="F70" s="16">
        <f t="shared" ref="F70:F72" si="90">SUM(D70:E70)</f>
        <v>256</v>
      </c>
      <c r="G70" s="17">
        <v>139</v>
      </c>
      <c r="H70" s="15">
        <v>102</v>
      </c>
      <c r="I70" s="16">
        <f t="shared" ref="I70:I72" si="91">SUM(G70:H70)</f>
        <v>241</v>
      </c>
      <c r="J70" s="17">
        <v>158</v>
      </c>
      <c r="K70" s="15">
        <v>119</v>
      </c>
      <c r="L70" s="16">
        <f t="shared" ref="L70:L72" si="92">SUM(J70:K70)</f>
        <v>277</v>
      </c>
      <c r="M70" s="17">
        <v>145</v>
      </c>
      <c r="N70" s="15">
        <v>115</v>
      </c>
      <c r="O70" s="16">
        <f t="shared" ref="O70:O72" si="93">SUM(M70:N70)</f>
        <v>260</v>
      </c>
      <c r="P70" s="17">
        <v>148</v>
      </c>
      <c r="Q70" s="15">
        <v>108</v>
      </c>
      <c r="R70" s="16">
        <f t="shared" ref="R70:R72" si="94">SUM(P70:Q70)</f>
        <v>256</v>
      </c>
      <c r="S70" s="17">
        <v>166</v>
      </c>
      <c r="T70" s="15">
        <v>120</v>
      </c>
      <c r="U70" s="16">
        <f t="shared" ref="U70:U72" si="95">SUM(S70:T70)</f>
        <v>286</v>
      </c>
      <c r="V70" s="17">
        <v>153</v>
      </c>
      <c r="W70" s="15">
        <v>150</v>
      </c>
      <c r="X70" s="16">
        <f t="shared" ref="X70:X72" si="96">SUM(V70:W70)</f>
        <v>303</v>
      </c>
      <c r="Y70" s="17">
        <v>201</v>
      </c>
      <c r="Z70" s="15">
        <v>198</v>
      </c>
      <c r="AA70" s="16">
        <f t="shared" ref="AA70:AA72" si="97">SUM(Y70:Z70)</f>
        <v>399</v>
      </c>
      <c r="AB70" s="17">
        <v>183</v>
      </c>
      <c r="AC70" s="15">
        <v>179</v>
      </c>
      <c r="AD70" s="16">
        <f t="shared" ref="AD70:AD72" si="98">SUM(AB70:AC70)</f>
        <v>362</v>
      </c>
    </row>
    <row r="71" spans="1:30" x14ac:dyDescent="0.25">
      <c r="A71" s="164"/>
      <c r="B71" s="131"/>
      <c r="C71" s="14" t="s">
        <v>59</v>
      </c>
      <c r="D71" s="17">
        <f>436+126</f>
        <v>562</v>
      </c>
      <c r="E71" s="15">
        <f>81+30</f>
        <v>111</v>
      </c>
      <c r="F71" s="16">
        <f t="shared" si="90"/>
        <v>673</v>
      </c>
      <c r="G71" s="17">
        <v>473</v>
      </c>
      <c r="H71" s="15">
        <v>118</v>
      </c>
      <c r="I71" s="16">
        <f t="shared" si="91"/>
        <v>591</v>
      </c>
      <c r="J71" s="17">
        <v>517</v>
      </c>
      <c r="K71" s="15">
        <v>122</v>
      </c>
      <c r="L71" s="16">
        <f t="shared" si="92"/>
        <v>639</v>
      </c>
      <c r="M71" s="17">
        <v>530</v>
      </c>
      <c r="N71" s="15">
        <v>143</v>
      </c>
      <c r="O71" s="16">
        <f t="shared" si="93"/>
        <v>673</v>
      </c>
      <c r="P71" s="17">
        <v>517</v>
      </c>
      <c r="Q71" s="15">
        <v>123</v>
      </c>
      <c r="R71" s="16">
        <f t="shared" si="94"/>
        <v>640</v>
      </c>
      <c r="S71" s="17">
        <f>3+533+9</f>
        <v>545</v>
      </c>
      <c r="T71" s="15">
        <f>157</f>
        <v>157</v>
      </c>
      <c r="U71" s="16">
        <f t="shared" si="95"/>
        <v>702</v>
      </c>
      <c r="V71" s="17">
        <v>672</v>
      </c>
      <c r="W71" s="15">
        <v>211</v>
      </c>
      <c r="X71" s="16">
        <f t="shared" si="96"/>
        <v>883</v>
      </c>
      <c r="Y71" s="17">
        <v>627</v>
      </c>
      <c r="Z71" s="15">
        <v>218</v>
      </c>
      <c r="AA71" s="16">
        <f t="shared" si="97"/>
        <v>845</v>
      </c>
      <c r="AB71" s="17">
        <v>696</v>
      </c>
      <c r="AC71" s="15">
        <v>270</v>
      </c>
      <c r="AD71" s="16">
        <f t="shared" si="98"/>
        <v>966</v>
      </c>
    </row>
    <row r="72" spans="1:30" x14ac:dyDescent="0.25">
      <c r="A72" s="164"/>
      <c r="B72" s="133"/>
      <c r="C72" s="38" t="s">
        <v>42</v>
      </c>
      <c r="D72" s="17">
        <f>231</f>
        <v>231</v>
      </c>
      <c r="E72" s="15">
        <f>255+8</f>
        <v>263</v>
      </c>
      <c r="F72" s="16">
        <f t="shared" si="90"/>
        <v>494</v>
      </c>
      <c r="G72" s="17">
        <v>245</v>
      </c>
      <c r="H72" s="15">
        <v>257</v>
      </c>
      <c r="I72" s="16">
        <f t="shared" si="91"/>
        <v>502</v>
      </c>
      <c r="J72" s="17">
        <v>264</v>
      </c>
      <c r="K72" s="15">
        <v>279</v>
      </c>
      <c r="L72" s="16">
        <f t="shared" si="92"/>
        <v>543</v>
      </c>
      <c r="M72" s="17">
        <v>251</v>
      </c>
      <c r="N72" s="15">
        <v>238</v>
      </c>
      <c r="O72" s="16">
        <f t="shared" si="93"/>
        <v>489</v>
      </c>
      <c r="P72" s="17">
        <v>183</v>
      </c>
      <c r="Q72" s="15">
        <v>238</v>
      </c>
      <c r="R72" s="16">
        <f t="shared" si="94"/>
        <v>421</v>
      </c>
      <c r="S72" s="17">
        <v>198</v>
      </c>
      <c r="T72" s="15">
        <v>271</v>
      </c>
      <c r="U72" s="16">
        <f t="shared" si="95"/>
        <v>469</v>
      </c>
      <c r="V72" s="17">
        <v>169</v>
      </c>
      <c r="W72" s="15">
        <v>186</v>
      </c>
      <c r="X72" s="16">
        <f t="shared" si="96"/>
        <v>355</v>
      </c>
      <c r="Y72" s="17">
        <v>147</v>
      </c>
      <c r="Z72" s="15">
        <v>203</v>
      </c>
      <c r="AA72" s="16">
        <f t="shared" si="97"/>
        <v>350</v>
      </c>
      <c r="AB72" s="17">
        <v>185</v>
      </c>
      <c r="AC72" s="15">
        <v>207</v>
      </c>
      <c r="AD72" s="16">
        <f t="shared" si="98"/>
        <v>392</v>
      </c>
    </row>
    <row r="73" spans="1:30" ht="15.75" thickBot="1" x14ac:dyDescent="0.3">
      <c r="A73" s="164"/>
      <c r="B73" s="132"/>
      <c r="C73" s="11" t="s">
        <v>5</v>
      </c>
      <c r="D73" s="20">
        <f t="shared" ref="D73:U73" si="99">SUM(D69:D72)</f>
        <v>1399</v>
      </c>
      <c r="E73" s="18">
        <f t="shared" si="99"/>
        <v>818</v>
      </c>
      <c r="F73" s="19">
        <f t="shared" si="99"/>
        <v>2217</v>
      </c>
      <c r="G73" s="20">
        <f t="shared" si="99"/>
        <v>1338</v>
      </c>
      <c r="H73" s="18">
        <f t="shared" si="99"/>
        <v>798</v>
      </c>
      <c r="I73" s="19">
        <f t="shared" si="99"/>
        <v>2136</v>
      </c>
      <c r="J73" s="20">
        <f t="shared" si="99"/>
        <v>1432</v>
      </c>
      <c r="K73" s="18">
        <f t="shared" si="99"/>
        <v>882</v>
      </c>
      <c r="L73" s="19">
        <f t="shared" si="99"/>
        <v>2314</v>
      </c>
      <c r="M73" s="20">
        <f t="shared" si="99"/>
        <v>1411</v>
      </c>
      <c r="N73" s="18">
        <f t="shared" si="99"/>
        <v>833</v>
      </c>
      <c r="O73" s="19">
        <f t="shared" si="99"/>
        <v>2244</v>
      </c>
      <c r="P73" s="20">
        <f t="shared" si="99"/>
        <v>1332</v>
      </c>
      <c r="Q73" s="18">
        <f t="shared" si="99"/>
        <v>838</v>
      </c>
      <c r="R73" s="19">
        <f t="shared" si="99"/>
        <v>2170</v>
      </c>
      <c r="S73" s="20">
        <f t="shared" si="99"/>
        <v>1419</v>
      </c>
      <c r="T73" s="18">
        <f t="shared" si="99"/>
        <v>967</v>
      </c>
      <c r="U73" s="19">
        <f t="shared" si="99"/>
        <v>2386</v>
      </c>
      <c r="V73" s="20">
        <f t="shared" ref="V73:X73" si="100">SUM(V69:V72)</f>
        <v>1572</v>
      </c>
      <c r="W73" s="18">
        <f t="shared" si="100"/>
        <v>970</v>
      </c>
      <c r="X73" s="19">
        <f t="shared" si="100"/>
        <v>2542</v>
      </c>
      <c r="Y73" s="20">
        <f t="shared" ref="Y73:AA73" si="101">SUM(Y69:Y72)</f>
        <v>1547</v>
      </c>
      <c r="Z73" s="18">
        <f t="shared" si="101"/>
        <v>1007</v>
      </c>
      <c r="AA73" s="19">
        <f t="shared" si="101"/>
        <v>2554</v>
      </c>
      <c r="AB73" s="20">
        <f t="shared" ref="AB73:AD73" si="102">SUM(AB69:AB72)</f>
        <v>1652</v>
      </c>
      <c r="AC73" s="18">
        <f t="shared" si="102"/>
        <v>1081</v>
      </c>
      <c r="AD73" s="19">
        <f t="shared" si="102"/>
        <v>2733</v>
      </c>
    </row>
    <row r="74" spans="1:30" x14ac:dyDescent="0.25">
      <c r="A74" s="164"/>
      <c r="B74" s="131" t="s">
        <v>29</v>
      </c>
      <c r="C74" s="14" t="s">
        <v>30</v>
      </c>
      <c r="D74" s="17">
        <v>234</v>
      </c>
      <c r="E74" s="15">
        <v>373</v>
      </c>
      <c r="F74" s="16">
        <f t="shared" ref="F74:F79" si="103">SUM(D74:E74)</f>
        <v>607</v>
      </c>
      <c r="G74" s="17">
        <v>298</v>
      </c>
      <c r="H74" s="15">
        <v>439</v>
      </c>
      <c r="I74" s="16">
        <f t="shared" ref="I74:I79" si="104">SUM(G74:H74)</f>
        <v>737</v>
      </c>
      <c r="J74" s="17">
        <v>322</v>
      </c>
      <c r="K74" s="15">
        <v>519</v>
      </c>
      <c r="L74" s="16">
        <f t="shared" ref="L74:L79" si="105">SUM(J74:K74)</f>
        <v>841</v>
      </c>
      <c r="M74" s="17">
        <v>705</v>
      </c>
      <c r="N74" s="15">
        <v>1074</v>
      </c>
      <c r="O74" s="16">
        <f t="shared" ref="O74:O79" si="106">SUM(M74:N74)</f>
        <v>1779</v>
      </c>
      <c r="P74" s="17">
        <v>407</v>
      </c>
      <c r="Q74" s="15">
        <v>583</v>
      </c>
      <c r="R74" s="16">
        <f t="shared" ref="R74:R79" si="107">SUM(P74:Q74)</f>
        <v>990</v>
      </c>
      <c r="S74" s="17">
        <v>349</v>
      </c>
      <c r="T74" s="15">
        <v>577</v>
      </c>
      <c r="U74" s="16">
        <f t="shared" ref="U74:U79" si="108">SUM(S74:T74)</f>
        <v>926</v>
      </c>
      <c r="V74" s="17">
        <v>353</v>
      </c>
      <c r="W74" s="15">
        <v>644</v>
      </c>
      <c r="X74" s="16">
        <f t="shared" ref="X74:X79" si="109">SUM(V74:W74)</f>
        <v>997</v>
      </c>
      <c r="Y74" s="17">
        <v>301</v>
      </c>
      <c r="Z74" s="15">
        <v>552</v>
      </c>
      <c r="AA74" s="16">
        <f t="shared" ref="AA74:AA79" si="110">SUM(Y74:Z74)</f>
        <v>853</v>
      </c>
      <c r="AB74" s="17">
        <v>280</v>
      </c>
      <c r="AC74" s="15">
        <v>431</v>
      </c>
      <c r="AD74" s="16">
        <f t="shared" ref="AD74:AD79" si="111">SUM(AB74:AC74)</f>
        <v>711</v>
      </c>
    </row>
    <row r="75" spans="1:30" x14ac:dyDescent="0.25">
      <c r="A75" s="164"/>
      <c r="B75" s="131"/>
      <c r="C75" s="14" t="s">
        <v>32</v>
      </c>
      <c r="D75" s="17">
        <v>72</v>
      </c>
      <c r="E75" s="15">
        <v>169</v>
      </c>
      <c r="F75" s="16">
        <f t="shared" si="103"/>
        <v>241</v>
      </c>
      <c r="G75" s="17">
        <v>70</v>
      </c>
      <c r="H75" s="15">
        <v>174</v>
      </c>
      <c r="I75" s="16">
        <f t="shared" si="104"/>
        <v>244</v>
      </c>
      <c r="J75" s="17">
        <v>64</v>
      </c>
      <c r="K75" s="15">
        <v>233</v>
      </c>
      <c r="L75" s="16">
        <f t="shared" si="105"/>
        <v>297</v>
      </c>
      <c r="M75" s="17">
        <v>61</v>
      </c>
      <c r="N75" s="15">
        <v>230</v>
      </c>
      <c r="O75" s="16">
        <f t="shared" si="106"/>
        <v>291</v>
      </c>
      <c r="P75" s="17">
        <v>71</v>
      </c>
      <c r="Q75" s="15">
        <v>212</v>
      </c>
      <c r="R75" s="16">
        <f t="shared" si="107"/>
        <v>283</v>
      </c>
      <c r="S75" s="17">
        <v>67</v>
      </c>
      <c r="T75" s="15">
        <v>237</v>
      </c>
      <c r="U75" s="16">
        <f t="shared" si="108"/>
        <v>304</v>
      </c>
      <c r="V75" s="17">
        <v>85</v>
      </c>
      <c r="W75" s="15">
        <v>236</v>
      </c>
      <c r="X75" s="16">
        <f t="shared" si="109"/>
        <v>321</v>
      </c>
      <c r="Y75" s="17">
        <v>57</v>
      </c>
      <c r="Z75" s="15">
        <v>207</v>
      </c>
      <c r="AA75" s="16">
        <f t="shared" si="110"/>
        <v>264</v>
      </c>
      <c r="AB75" s="17">
        <v>56</v>
      </c>
      <c r="AC75" s="15">
        <v>199</v>
      </c>
      <c r="AD75" s="16">
        <f t="shared" si="111"/>
        <v>255</v>
      </c>
    </row>
    <row r="76" spans="1:30" x14ac:dyDescent="0.25">
      <c r="A76" s="164"/>
      <c r="B76" s="131"/>
      <c r="C76" s="14" t="s">
        <v>33</v>
      </c>
      <c r="D76" s="17">
        <v>64</v>
      </c>
      <c r="E76" s="15">
        <v>71</v>
      </c>
      <c r="F76" s="16">
        <f t="shared" si="103"/>
        <v>135</v>
      </c>
      <c r="G76" s="17">
        <v>71</v>
      </c>
      <c r="H76" s="15">
        <v>70</v>
      </c>
      <c r="I76" s="16">
        <f t="shared" si="104"/>
        <v>141</v>
      </c>
      <c r="J76" s="17">
        <v>61</v>
      </c>
      <c r="K76" s="15">
        <v>104</v>
      </c>
      <c r="L76" s="16">
        <f t="shared" si="105"/>
        <v>165</v>
      </c>
      <c r="M76" s="17">
        <v>86</v>
      </c>
      <c r="N76" s="15">
        <v>104</v>
      </c>
      <c r="O76" s="16">
        <f t="shared" si="106"/>
        <v>190</v>
      </c>
      <c r="P76" s="17">
        <v>58</v>
      </c>
      <c r="Q76" s="15">
        <v>105</v>
      </c>
      <c r="R76" s="16">
        <f t="shared" si="107"/>
        <v>163</v>
      </c>
      <c r="S76" s="17">
        <v>80</v>
      </c>
      <c r="T76" s="15">
        <v>124</v>
      </c>
      <c r="U76" s="16">
        <f t="shared" si="108"/>
        <v>204</v>
      </c>
      <c r="V76" s="17">
        <v>68</v>
      </c>
      <c r="W76" s="15">
        <v>90</v>
      </c>
      <c r="X76" s="16">
        <f t="shared" si="109"/>
        <v>158</v>
      </c>
      <c r="Y76" s="17">
        <v>39</v>
      </c>
      <c r="Z76" s="15">
        <v>63</v>
      </c>
      <c r="AA76" s="16">
        <f t="shared" si="110"/>
        <v>102</v>
      </c>
      <c r="AB76" s="17">
        <v>45</v>
      </c>
      <c r="AC76" s="15">
        <v>58</v>
      </c>
      <c r="AD76" s="16">
        <f t="shared" si="111"/>
        <v>103</v>
      </c>
    </row>
    <row r="77" spans="1:30" x14ac:dyDescent="0.25">
      <c r="A77" s="164"/>
      <c r="B77" s="131"/>
      <c r="C77" s="14" t="s">
        <v>34</v>
      </c>
      <c r="D77" s="17">
        <f>1+59+27</f>
        <v>87</v>
      </c>
      <c r="E77" s="15">
        <f>6+161+53</f>
        <v>220</v>
      </c>
      <c r="F77" s="16">
        <f t="shared" si="103"/>
        <v>307</v>
      </c>
      <c r="G77" s="17">
        <v>70</v>
      </c>
      <c r="H77" s="15">
        <v>225</v>
      </c>
      <c r="I77" s="16">
        <f t="shared" si="104"/>
        <v>295</v>
      </c>
      <c r="J77" s="17">
        <f>1+63+22</f>
        <v>86</v>
      </c>
      <c r="K77" s="15">
        <f>8+145+44</f>
        <v>197</v>
      </c>
      <c r="L77" s="16">
        <f t="shared" si="105"/>
        <v>283</v>
      </c>
      <c r="M77" s="17">
        <v>85</v>
      </c>
      <c r="N77" s="15">
        <v>228</v>
      </c>
      <c r="O77" s="16">
        <f t="shared" si="106"/>
        <v>313</v>
      </c>
      <c r="P77" s="17">
        <v>103</v>
      </c>
      <c r="Q77" s="15">
        <v>239</v>
      </c>
      <c r="R77" s="16">
        <f t="shared" si="107"/>
        <v>342</v>
      </c>
      <c r="S77" s="17">
        <f>3+52+27</f>
        <v>82</v>
      </c>
      <c r="T77" s="15">
        <f>8+189+72</f>
        <v>269</v>
      </c>
      <c r="U77" s="16">
        <f t="shared" si="108"/>
        <v>351</v>
      </c>
      <c r="V77" s="17">
        <v>90</v>
      </c>
      <c r="W77" s="15">
        <v>284</v>
      </c>
      <c r="X77" s="16">
        <f t="shared" si="109"/>
        <v>374</v>
      </c>
      <c r="Y77" s="17">
        <v>139</v>
      </c>
      <c r="Z77" s="15">
        <v>359</v>
      </c>
      <c r="AA77" s="16">
        <f t="shared" si="110"/>
        <v>498</v>
      </c>
      <c r="AB77" s="17">
        <v>115</v>
      </c>
      <c r="AC77" s="15">
        <v>419</v>
      </c>
      <c r="AD77" s="16">
        <f t="shared" si="111"/>
        <v>534</v>
      </c>
    </row>
    <row r="78" spans="1:30" x14ac:dyDescent="0.25">
      <c r="A78" s="164"/>
      <c r="B78" s="131"/>
      <c r="C78" s="14" t="s">
        <v>31</v>
      </c>
      <c r="D78" s="17">
        <v>71</v>
      </c>
      <c r="E78" s="15">
        <v>179</v>
      </c>
      <c r="F78" s="16">
        <f t="shared" si="103"/>
        <v>250</v>
      </c>
      <c r="G78" s="17">
        <v>62</v>
      </c>
      <c r="H78" s="15">
        <v>192</v>
      </c>
      <c r="I78" s="16">
        <f t="shared" si="104"/>
        <v>254</v>
      </c>
      <c r="J78" s="17">
        <v>62</v>
      </c>
      <c r="K78" s="15">
        <v>233</v>
      </c>
      <c r="L78" s="16">
        <f t="shared" si="105"/>
        <v>295</v>
      </c>
      <c r="M78" s="17">
        <v>62</v>
      </c>
      <c r="N78" s="15">
        <v>203</v>
      </c>
      <c r="O78" s="16">
        <f t="shared" si="106"/>
        <v>265</v>
      </c>
      <c r="P78" s="17">
        <v>66</v>
      </c>
      <c r="Q78" s="15">
        <v>224</v>
      </c>
      <c r="R78" s="16">
        <f t="shared" si="107"/>
        <v>290</v>
      </c>
      <c r="S78" s="17">
        <v>74</v>
      </c>
      <c r="T78" s="15">
        <v>291</v>
      </c>
      <c r="U78" s="16">
        <f t="shared" si="108"/>
        <v>365</v>
      </c>
      <c r="V78" s="17">
        <v>67</v>
      </c>
      <c r="W78" s="15">
        <v>256</v>
      </c>
      <c r="X78" s="16">
        <f t="shared" si="109"/>
        <v>323</v>
      </c>
      <c r="Y78" s="17">
        <v>84</v>
      </c>
      <c r="Z78" s="15">
        <v>248</v>
      </c>
      <c r="AA78" s="16">
        <f t="shared" si="110"/>
        <v>332</v>
      </c>
      <c r="AB78" s="17">
        <v>80</v>
      </c>
      <c r="AC78" s="15">
        <v>285</v>
      </c>
      <c r="AD78" s="16">
        <f t="shared" si="111"/>
        <v>365</v>
      </c>
    </row>
    <row r="79" spans="1:30" x14ac:dyDescent="0.25">
      <c r="A79" s="164"/>
      <c r="B79" s="131"/>
      <c r="C79" s="14" t="s">
        <v>35</v>
      </c>
      <c r="D79" s="17">
        <f>174+38+42+4</f>
        <v>258</v>
      </c>
      <c r="E79" s="15">
        <f>200+12+38+1</f>
        <v>251</v>
      </c>
      <c r="F79" s="16">
        <f t="shared" si="103"/>
        <v>509</v>
      </c>
      <c r="G79" s="17">
        <v>234</v>
      </c>
      <c r="H79" s="15">
        <v>269</v>
      </c>
      <c r="I79" s="16">
        <f t="shared" si="104"/>
        <v>503</v>
      </c>
      <c r="J79" s="17">
        <f>203+33+61+3</f>
        <v>300</v>
      </c>
      <c r="K79" s="15">
        <f>176+24+50+3</f>
        <v>253</v>
      </c>
      <c r="L79" s="16">
        <f t="shared" si="105"/>
        <v>553</v>
      </c>
      <c r="M79" s="17">
        <v>253</v>
      </c>
      <c r="N79" s="15">
        <v>245</v>
      </c>
      <c r="O79" s="16">
        <f t="shared" si="106"/>
        <v>498</v>
      </c>
      <c r="P79" s="17">
        <v>249</v>
      </c>
      <c r="Q79" s="15">
        <v>292</v>
      </c>
      <c r="R79" s="16">
        <f t="shared" si="107"/>
        <v>541</v>
      </c>
      <c r="S79" s="17">
        <f>178+42+66+8</f>
        <v>294</v>
      </c>
      <c r="T79" s="15">
        <f>238+23+64+8</f>
        <v>333</v>
      </c>
      <c r="U79" s="16">
        <f t="shared" si="108"/>
        <v>627</v>
      </c>
      <c r="V79" s="17">
        <v>370</v>
      </c>
      <c r="W79" s="15">
        <v>394</v>
      </c>
      <c r="X79" s="16">
        <f t="shared" si="109"/>
        <v>764</v>
      </c>
      <c r="Y79" s="17">
        <v>364</v>
      </c>
      <c r="Z79" s="15">
        <v>415</v>
      </c>
      <c r="AA79" s="16">
        <f t="shared" si="110"/>
        <v>779</v>
      </c>
      <c r="AB79" s="17">
        <v>323</v>
      </c>
      <c r="AC79" s="15">
        <v>381</v>
      </c>
      <c r="AD79" s="16">
        <f t="shared" si="111"/>
        <v>704</v>
      </c>
    </row>
    <row r="80" spans="1:30" ht="15.75" thickBot="1" x14ac:dyDescent="0.3">
      <c r="A80" s="164"/>
      <c r="B80" s="132"/>
      <c r="C80" s="11" t="s">
        <v>5</v>
      </c>
      <c r="D80" s="20">
        <f t="shared" ref="D80:U80" si="112">SUM(D74:D79)</f>
        <v>786</v>
      </c>
      <c r="E80" s="18">
        <f t="shared" si="112"/>
        <v>1263</v>
      </c>
      <c r="F80" s="19">
        <f t="shared" si="112"/>
        <v>2049</v>
      </c>
      <c r="G80" s="20">
        <f t="shared" si="112"/>
        <v>805</v>
      </c>
      <c r="H80" s="18">
        <f t="shared" si="112"/>
        <v>1369</v>
      </c>
      <c r="I80" s="19">
        <f t="shared" si="112"/>
        <v>2174</v>
      </c>
      <c r="J80" s="20">
        <f t="shared" si="112"/>
        <v>895</v>
      </c>
      <c r="K80" s="18">
        <f t="shared" si="112"/>
        <v>1539</v>
      </c>
      <c r="L80" s="19">
        <f t="shared" si="112"/>
        <v>2434</v>
      </c>
      <c r="M80" s="20">
        <f t="shared" si="112"/>
        <v>1252</v>
      </c>
      <c r="N80" s="18">
        <f t="shared" si="112"/>
        <v>2084</v>
      </c>
      <c r="O80" s="19">
        <f t="shared" si="112"/>
        <v>3336</v>
      </c>
      <c r="P80" s="20">
        <f t="shared" si="112"/>
        <v>954</v>
      </c>
      <c r="Q80" s="18">
        <f t="shared" si="112"/>
        <v>1655</v>
      </c>
      <c r="R80" s="19">
        <f t="shared" si="112"/>
        <v>2609</v>
      </c>
      <c r="S80" s="20">
        <f t="shared" si="112"/>
        <v>946</v>
      </c>
      <c r="T80" s="18">
        <f t="shared" si="112"/>
        <v>1831</v>
      </c>
      <c r="U80" s="19">
        <f t="shared" si="112"/>
        <v>2777</v>
      </c>
      <c r="V80" s="20">
        <f t="shared" ref="V80:X80" si="113">SUM(V74:V79)</f>
        <v>1033</v>
      </c>
      <c r="W80" s="18">
        <f t="shared" si="113"/>
        <v>1904</v>
      </c>
      <c r="X80" s="19">
        <f t="shared" si="113"/>
        <v>2937</v>
      </c>
      <c r="Y80" s="20">
        <f t="shared" ref="Y80:AA80" si="114">SUM(Y74:Y79)</f>
        <v>984</v>
      </c>
      <c r="Z80" s="18">
        <f t="shared" si="114"/>
        <v>1844</v>
      </c>
      <c r="AA80" s="19">
        <f t="shared" si="114"/>
        <v>2828</v>
      </c>
      <c r="AB80" s="20">
        <f t="shared" ref="AB80:AD80" si="115">SUM(AB74:AB79)</f>
        <v>899</v>
      </c>
      <c r="AC80" s="18">
        <f t="shared" si="115"/>
        <v>1773</v>
      </c>
      <c r="AD80" s="19">
        <f t="shared" si="115"/>
        <v>2672</v>
      </c>
    </row>
    <row r="81" spans="1:30" s="12" customFormat="1" ht="15.75" thickBot="1" x14ac:dyDescent="0.3">
      <c r="A81" s="165"/>
      <c r="B81" s="134" t="s">
        <v>36</v>
      </c>
      <c r="C81" s="134"/>
      <c r="D81" s="102">
        <f t="shared" ref="D81:U81" si="116">D80+D73+D65+D68</f>
        <v>4672</v>
      </c>
      <c r="E81" s="103">
        <f t="shared" si="116"/>
        <v>6280</v>
      </c>
      <c r="F81" s="104">
        <f t="shared" si="116"/>
        <v>10952</v>
      </c>
      <c r="G81" s="102">
        <f t="shared" si="116"/>
        <v>4608</v>
      </c>
      <c r="H81" s="103">
        <f t="shared" si="116"/>
        <v>6565</v>
      </c>
      <c r="I81" s="104">
        <f t="shared" si="116"/>
        <v>11173</v>
      </c>
      <c r="J81" s="102">
        <f t="shared" si="116"/>
        <v>4839</v>
      </c>
      <c r="K81" s="103">
        <f t="shared" si="116"/>
        <v>6812</v>
      </c>
      <c r="L81" s="104">
        <f t="shared" si="116"/>
        <v>11651</v>
      </c>
      <c r="M81" s="102">
        <f t="shared" si="116"/>
        <v>5111</v>
      </c>
      <c r="N81" s="103">
        <f t="shared" si="116"/>
        <v>7122</v>
      </c>
      <c r="O81" s="104">
        <f t="shared" si="116"/>
        <v>12233</v>
      </c>
      <c r="P81" s="102">
        <f t="shared" si="116"/>
        <v>4713</v>
      </c>
      <c r="Q81" s="103">
        <f t="shared" si="116"/>
        <v>6729</v>
      </c>
      <c r="R81" s="104">
        <f t="shared" si="116"/>
        <v>11442</v>
      </c>
      <c r="S81" s="102">
        <f t="shared" si="116"/>
        <v>5038</v>
      </c>
      <c r="T81" s="103">
        <f t="shared" si="116"/>
        <v>7742</v>
      </c>
      <c r="U81" s="104">
        <f t="shared" si="116"/>
        <v>12780</v>
      </c>
      <c r="V81" s="102">
        <f t="shared" ref="V81:X81" si="117">V80+V73+V65+V68</f>
        <v>5095</v>
      </c>
      <c r="W81" s="103">
        <f t="shared" si="117"/>
        <v>7897</v>
      </c>
      <c r="X81" s="104">
        <f t="shared" si="117"/>
        <v>12992</v>
      </c>
      <c r="Y81" s="102">
        <f t="shared" ref="Y81:AA81" si="118">Y80+Y73+Y65+Y68</f>
        <v>4986</v>
      </c>
      <c r="Z81" s="103">
        <f t="shared" si="118"/>
        <v>7743</v>
      </c>
      <c r="AA81" s="104">
        <f t="shared" si="118"/>
        <v>12729</v>
      </c>
      <c r="AB81" s="102">
        <f t="shared" ref="AB81:AD81" si="119">AB80+AB73+AB65+AB68</f>
        <v>5256</v>
      </c>
      <c r="AC81" s="103">
        <f t="shared" si="119"/>
        <v>8128</v>
      </c>
      <c r="AD81" s="104">
        <f t="shared" si="119"/>
        <v>13384</v>
      </c>
    </row>
    <row r="82" spans="1:30" x14ac:dyDescent="0.25">
      <c r="E82" s="108">
        <f>E81/F81</f>
        <v>0.57341124908692476</v>
      </c>
      <c r="H82" s="108">
        <f>H81/I81</f>
        <v>0.58757719502371786</v>
      </c>
      <c r="K82" s="108">
        <f>K81/L81</f>
        <v>0.58467084370440303</v>
      </c>
      <c r="N82" s="108">
        <f>N81/O81</f>
        <v>0.58219570015531763</v>
      </c>
      <c r="Q82" s="108">
        <f>Q81/R81</f>
        <v>0.5880964866282119</v>
      </c>
      <c r="T82" s="108">
        <f>T81/U81</f>
        <v>0.60579029733959311</v>
      </c>
      <c r="W82" s="108">
        <f>W81/X81</f>
        <v>0.60783559113300489</v>
      </c>
      <c r="Z82" s="108">
        <f>Z81/AA81</f>
        <v>0.60829601696912561</v>
      </c>
      <c r="AC82" s="108">
        <f>AC81/AD81</f>
        <v>0.60729228930065748</v>
      </c>
    </row>
    <row r="83" spans="1:30" x14ac:dyDescent="0.25">
      <c r="M83" t="s">
        <v>71</v>
      </c>
    </row>
    <row r="84" spans="1:30" ht="18.75" x14ac:dyDescent="0.3">
      <c r="A84" s="2" t="s">
        <v>44</v>
      </c>
      <c r="D84" s="27"/>
      <c r="E84" s="27"/>
      <c r="F84" s="27"/>
    </row>
    <row r="85" spans="1:30" x14ac:dyDescent="0.25">
      <c r="A85" s="3"/>
      <c r="D85" s="27"/>
      <c r="E85" s="27"/>
      <c r="F85" s="27"/>
    </row>
    <row r="86" spans="1:30" x14ac:dyDescent="0.25">
      <c r="D86" s="27"/>
      <c r="E86" s="27"/>
      <c r="F86" s="27"/>
    </row>
    <row r="87" spans="1:30" ht="15.75" thickBot="1" x14ac:dyDescent="0.3">
      <c r="D87" s="128" t="s">
        <v>15</v>
      </c>
      <c r="E87" s="128"/>
      <c r="F87" s="129"/>
      <c r="G87" s="128" t="s">
        <v>45</v>
      </c>
      <c r="H87" s="128"/>
      <c r="I87" s="129"/>
      <c r="J87" s="128" t="s">
        <v>51</v>
      </c>
      <c r="K87" s="128"/>
      <c r="L87" s="129"/>
      <c r="M87" s="128" t="s">
        <v>54</v>
      </c>
      <c r="N87" s="128"/>
      <c r="O87" s="129"/>
      <c r="P87" s="128" t="s">
        <v>60</v>
      </c>
      <c r="Q87" s="128"/>
      <c r="R87" s="129"/>
      <c r="S87" s="128" t="s">
        <v>63</v>
      </c>
      <c r="T87" s="128"/>
      <c r="U87" s="129"/>
      <c r="V87" s="128" t="s">
        <v>64</v>
      </c>
      <c r="W87" s="128"/>
      <c r="X87" s="129"/>
      <c r="Y87" s="128" t="s">
        <v>66</v>
      </c>
      <c r="Z87" s="128"/>
      <c r="AA87" s="129"/>
      <c r="AB87" s="128" t="s">
        <v>72</v>
      </c>
      <c r="AC87" s="128"/>
      <c r="AD87" s="129"/>
    </row>
    <row r="88" spans="1:30" ht="15.75" thickBot="1" x14ac:dyDescent="0.3">
      <c r="A88" s="4"/>
      <c r="B88" s="5"/>
      <c r="C88" s="9"/>
      <c r="D88" s="35" t="s">
        <v>12</v>
      </c>
      <c r="E88" s="35" t="s">
        <v>13</v>
      </c>
      <c r="F88" s="36" t="s">
        <v>14</v>
      </c>
      <c r="G88" s="35" t="s">
        <v>12</v>
      </c>
      <c r="H88" s="35" t="s">
        <v>13</v>
      </c>
      <c r="I88" s="36" t="s">
        <v>14</v>
      </c>
      <c r="J88" s="35" t="s">
        <v>12</v>
      </c>
      <c r="K88" s="35" t="s">
        <v>13</v>
      </c>
      <c r="L88" s="36" t="s">
        <v>14</v>
      </c>
      <c r="M88" s="35" t="s">
        <v>12</v>
      </c>
      <c r="N88" s="35" t="s">
        <v>13</v>
      </c>
      <c r="O88" s="36" t="s">
        <v>14</v>
      </c>
      <c r="P88" s="35" t="s">
        <v>12</v>
      </c>
      <c r="Q88" s="35" t="s">
        <v>13</v>
      </c>
      <c r="R88" s="36" t="s">
        <v>14</v>
      </c>
      <c r="S88" s="35" t="s">
        <v>12</v>
      </c>
      <c r="T88" s="35" t="s">
        <v>13</v>
      </c>
      <c r="U88" s="36" t="s">
        <v>14</v>
      </c>
      <c r="V88" s="35" t="s">
        <v>12</v>
      </c>
      <c r="W88" s="35" t="s">
        <v>13</v>
      </c>
      <c r="X88" s="36" t="s">
        <v>14</v>
      </c>
      <c r="Y88" s="35" t="s">
        <v>12</v>
      </c>
      <c r="Z88" s="35" t="s">
        <v>13</v>
      </c>
      <c r="AA88" s="36" t="s">
        <v>14</v>
      </c>
      <c r="AB88" s="35" t="s">
        <v>12</v>
      </c>
      <c r="AC88" s="35" t="s">
        <v>13</v>
      </c>
      <c r="AD88" s="36" t="s">
        <v>14</v>
      </c>
    </row>
    <row r="89" spans="1:30" ht="16.5" thickBot="1" x14ac:dyDescent="0.3">
      <c r="A89" s="138" t="s">
        <v>43</v>
      </c>
      <c r="B89" s="139"/>
      <c r="C89" s="140"/>
      <c r="D89" s="34">
        <f t="shared" ref="D89:U89" si="120">D81+D47</f>
        <v>11052</v>
      </c>
      <c r="E89" s="34">
        <f t="shared" si="120"/>
        <v>18192</v>
      </c>
      <c r="F89" s="37">
        <f t="shared" si="120"/>
        <v>29244</v>
      </c>
      <c r="G89" s="34">
        <f t="shared" si="120"/>
        <v>10706</v>
      </c>
      <c r="H89" s="34">
        <f t="shared" si="120"/>
        <v>18238</v>
      </c>
      <c r="I89" s="37">
        <f t="shared" si="120"/>
        <v>28944</v>
      </c>
      <c r="J89" s="34">
        <f t="shared" si="120"/>
        <v>11095</v>
      </c>
      <c r="K89" s="34">
        <f t="shared" si="120"/>
        <v>18308</v>
      </c>
      <c r="L89" s="37">
        <f t="shared" si="120"/>
        <v>29403</v>
      </c>
      <c r="M89" s="34">
        <f t="shared" si="120"/>
        <v>11102</v>
      </c>
      <c r="N89" s="34">
        <f t="shared" si="120"/>
        <v>17737</v>
      </c>
      <c r="O89" s="37">
        <f t="shared" si="120"/>
        <v>28839</v>
      </c>
      <c r="P89" s="34">
        <f t="shared" si="120"/>
        <v>10767</v>
      </c>
      <c r="Q89" s="34">
        <f t="shared" si="120"/>
        <v>16484</v>
      </c>
      <c r="R89" s="37">
        <f t="shared" si="120"/>
        <v>27251</v>
      </c>
      <c r="S89" s="34">
        <f t="shared" si="120"/>
        <v>11451</v>
      </c>
      <c r="T89" s="34">
        <f t="shared" si="120"/>
        <v>18580</v>
      </c>
      <c r="U89" s="37">
        <f t="shared" si="120"/>
        <v>30031</v>
      </c>
      <c r="V89" s="34">
        <f t="shared" ref="V89:X89" si="121">V81+V47</f>
        <v>11687</v>
      </c>
      <c r="W89" s="34">
        <f t="shared" si="121"/>
        <v>18683</v>
      </c>
      <c r="X89" s="37">
        <f t="shared" si="121"/>
        <v>30370</v>
      </c>
      <c r="Y89" s="34">
        <f t="shared" ref="Y89:AA89" si="122">Y81+Y47</f>
        <v>11214</v>
      </c>
      <c r="Z89" s="34">
        <f t="shared" si="122"/>
        <v>18482</v>
      </c>
      <c r="AA89" s="37">
        <f t="shared" si="122"/>
        <v>29696</v>
      </c>
      <c r="AB89" s="34">
        <f t="shared" ref="AB89:AD89" si="123">AB81+AB47</f>
        <v>11267</v>
      </c>
      <c r="AC89" s="34">
        <f t="shared" si="123"/>
        <v>18368</v>
      </c>
      <c r="AD89" s="37">
        <f t="shared" si="123"/>
        <v>29635</v>
      </c>
    </row>
    <row r="90" spans="1:30" x14ac:dyDescent="0.25">
      <c r="E90" s="108">
        <f>E89/F89</f>
        <v>0.62207632334837915</v>
      </c>
      <c r="F90" s="108"/>
      <c r="G90" s="108"/>
      <c r="H90" s="108">
        <f>H89/I89</f>
        <v>0.63011332227750139</v>
      </c>
      <c r="I90" s="108"/>
      <c r="J90" s="108"/>
      <c r="K90" s="108">
        <f>K89/L89</f>
        <v>0.62265755195048123</v>
      </c>
      <c r="L90" s="108"/>
      <c r="M90" s="108"/>
      <c r="N90" s="108">
        <f>N89/O89</f>
        <v>0.61503519539512463</v>
      </c>
      <c r="O90" s="108"/>
      <c r="P90" s="108"/>
      <c r="Q90" s="108">
        <f>Q89/R89</f>
        <v>0.60489523320245131</v>
      </c>
      <c r="R90" s="108"/>
      <c r="S90" s="108"/>
      <c r="T90" s="108">
        <f>T89/U89</f>
        <v>0.61869401618327724</v>
      </c>
      <c r="U90" s="108"/>
      <c r="V90" s="108"/>
      <c r="W90" s="108">
        <f>W89/X89</f>
        <v>0.61517945340796842</v>
      </c>
      <c r="X90" s="108"/>
      <c r="Y90" s="108"/>
      <c r="Z90" s="108">
        <f>Z89/AA89</f>
        <v>0.62237338362068961</v>
      </c>
      <c r="AA90" s="108"/>
      <c r="AC90" s="108">
        <f>AC89/AD89</f>
        <v>0.6198076598616501</v>
      </c>
    </row>
  </sheetData>
  <mergeCells count="47">
    <mergeCell ref="Y6:AA6"/>
    <mergeCell ref="Y53:AA53"/>
    <mergeCell ref="Y87:AA87"/>
    <mergeCell ref="A8:A31"/>
    <mergeCell ref="B8:B20"/>
    <mergeCell ref="B21:B30"/>
    <mergeCell ref="B31:C31"/>
    <mergeCell ref="A32:A42"/>
    <mergeCell ref="B32:B35"/>
    <mergeCell ref="B36:B41"/>
    <mergeCell ref="B42:C42"/>
    <mergeCell ref="D52:L52"/>
    <mergeCell ref="D53:F53"/>
    <mergeCell ref="G53:I53"/>
    <mergeCell ref="J53:L53"/>
    <mergeCell ref="V6:X6"/>
    <mergeCell ref="B81:C81"/>
    <mergeCell ref="A45:A47"/>
    <mergeCell ref="B45:C45"/>
    <mergeCell ref="B46:C46"/>
    <mergeCell ref="B47:C47"/>
    <mergeCell ref="B55:B65"/>
    <mergeCell ref="B66:B68"/>
    <mergeCell ref="B69:B73"/>
    <mergeCell ref="S6:U6"/>
    <mergeCell ref="B74:B80"/>
    <mergeCell ref="D6:F6"/>
    <mergeCell ref="G6:I6"/>
    <mergeCell ref="J6:L6"/>
    <mergeCell ref="M6:O6"/>
    <mergeCell ref="P6:R6"/>
    <mergeCell ref="AB6:AD6"/>
    <mergeCell ref="AB53:AD53"/>
    <mergeCell ref="AB87:AD87"/>
    <mergeCell ref="A89:C89"/>
    <mergeCell ref="V53:X53"/>
    <mergeCell ref="V87:X87"/>
    <mergeCell ref="D87:F87"/>
    <mergeCell ref="G87:I87"/>
    <mergeCell ref="J87:L87"/>
    <mergeCell ref="M87:O87"/>
    <mergeCell ref="P87:R87"/>
    <mergeCell ref="S87:U87"/>
    <mergeCell ref="M53:O53"/>
    <mergeCell ref="P53:R53"/>
    <mergeCell ref="S53:U53"/>
    <mergeCell ref="A55:A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Pop</vt:lpstr>
      <vt:lpstr>Dip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ARES</dc:creator>
  <cp:lastModifiedBy>JAUNIAUX Nathalie</cp:lastModifiedBy>
  <cp:lastPrinted>2022-08-23T09:17:04Z</cp:lastPrinted>
  <dcterms:created xsi:type="dcterms:W3CDTF">2015-08-24T15:21:42Z</dcterms:created>
  <dcterms:modified xsi:type="dcterms:W3CDTF">2025-04-08T11:52:12Z</dcterms:modified>
</cp:coreProperties>
</file>